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d.bean\OneDrive - Royal Mail Group Ltd\Documents\Wholesale\Contract Monitoring\Price Plan Calculators\2022 calculators\"/>
    </mc:Choice>
  </mc:AlternateContent>
  <xr:revisionPtr revIDLastSave="0" documentId="13_ncr:1_{04781FAD-EE95-4A48-B9DA-110F2F93FA6C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9" l="1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G14" i="11" s="1"/>
  <c r="C14" i="11"/>
  <c r="G8" i="11"/>
  <c r="G5" i="11"/>
  <c r="F9" i="10" l="1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H11" i="10" s="1"/>
  <c r="F11" i="11" s="1"/>
  <c r="F12" i="11" s="1"/>
  <c r="B6" i="9"/>
  <c r="B20" i="9"/>
  <c r="F9" i="11"/>
  <c r="E13" i="11" l="1"/>
  <c r="E10" i="10"/>
  <c r="F10" i="11"/>
  <c r="F15" i="11" s="1"/>
  <c r="G15" i="11" s="1"/>
  <c r="I10" i="10" l="1"/>
  <c r="E11" i="10" s="1"/>
  <c r="F11" i="10"/>
  <c r="D11" i="11" s="1"/>
  <c r="D12" i="11" s="1"/>
  <c r="D13" i="11" s="1"/>
  <c r="F13" i="11"/>
  <c r="I11" i="10" l="1"/>
  <c r="C11" i="11"/>
  <c r="G11" i="11" l="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<sst xmlns="http://schemas.openxmlformats.org/spreadsheetml/2006/main" count="75" uniqueCount="51">
  <si>
    <t>Zone A</t>
  </si>
  <si>
    <t>Zone B</t>
  </si>
  <si>
    <t>Zone C</t>
  </si>
  <si>
    <t>Zone D</t>
  </si>
  <si>
    <t>TOTAL</t>
  </si>
  <si>
    <t>Letters</t>
  </si>
  <si>
    <t>Large Letters</t>
  </si>
  <si>
    <t>Packets</t>
  </si>
  <si>
    <t>Customer volume</t>
  </si>
  <si>
    <t>Allowed customer volume</t>
  </si>
  <si>
    <t>Customer's percentage of volume by zone.</t>
  </si>
  <si>
    <t>Customer's total volume</t>
  </si>
  <si>
    <t>Customer's total spend</t>
  </si>
  <si>
    <t>Inputs to calculator</t>
  </si>
  <si>
    <t>Calculation of adjusted Royal Mail zonal posting profile</t>
  </si>
  <si>
    <t>Royal Mail zonal profile percentage</t>
  </si>
  <si>
    <t>Adjusted posting profile (preliminary)</t>
  </si>
  <si>
    <t>Customer average unit rate (AUR)</t>
  </si>
  <si>
    <t>Implied zonal AUR</t>
  </si>
  <si>
    <t>Value of posting based on customer's actual posting profile and is the amount that would be paid if the customer were on a zonal contract.</t>
  </si>
  <si>
    <t>Zonal variance percentage</t>
  </si>
  <si>
    <t>Tolerance</t>
  </si>
  <si>
    <t>Tolerance applied</t>
  </si>
  <si>
    <t>Weighted average price variance percentage (WAPVP)</t>
  </si>
  <si>
    <t>Weighted average of zonal variance percentages and Royal Mail's percentage of revenue by format</t>
  </si>
  <si>
    <t>Zones with negative WAPVP are re-scaled such that total percentage returns to 100%</t>
  </si>
  <si>
    <t>Tolerance only applied to zones with positive WAPVP</t>
  </si>
  <si>
    <t>Contract type</t>
  </si>
  <si>
    <t>Lookups</t>
  </si>
  <si>
    <t>Contract Types</t>
  </si>
  <si>
    <t>Key Information</t>
  </si>
  <si>
    <t>Selected contract type</t>
  </si>
  <si>
    <t>Royal Mail zonal posting profile adjusted for tolerance</t>
  </si>
  <si>
    <t>Customer invoiced amount</t>
  </si>
  <si>
    <t>Allowed customer invoiced amount</t>
  </si>
  <si>
    <t>Implied customer invoiced amount</t>
  </si>
  <si>
    <t>(Customer) Actual profile percentage</t>
  </si>
  <si>
    <t>(Customer) Actual posting profile</t>
  </si>
  <si>
    <t>Weighted average message…</t>
  </si>
  <si>
    <t>Weighted average for letters and large letters formats</t>
  </si>
  <si>
    <t>Weighted average for parcels formats</t>
  </si>
  <si>
    <t>NGPP Adjustment calculator</t>
  </si>
  <si>
    <t>Value of customer's spend if posting to RM zonal posting profile adjusted for tolerance. This is the value of posting allowed before an adjustment will be applied.</t>
  </si>
  <si>
    <t>ADJUSTMENT</t>
  </si>
  <si>
    <t>Items Adjusted</t>
  </si>
  <si>
    <t>Percentage of Items Adjusted</t>
  </si>
  <si>
    <t>Percentage of volume by zone. RM profile based on MCS and Mailmark data 2019/20</t>
  </si>
  <si>
    <t>RMW Access Letters Contract 2022</t>
  </si>
  <si>
    <t>RMW Wholesale Parcels Contract 2022</t>
  </si>
  <si>
    <t>Tolerance allowed in 2022/2023</t>
  </si>
  <si>
    <t>As published for Tariff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</si>
</sst>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0.00\p"/>
    <numFmt numFmtId="166" formatCode="0.0%"/>
    <numFmt numFmtId="167" formatCode="0.000%"/>
  </numFmts>
  <fonts count="11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 applyAlignment="1"/>
    <xf numFmtId="3" fontId="3" fillId="2" borderId="12" xfId="0" applyNumberFormat="1" applyFont="1" applyFill="1" applyBorder="1" applyAlignment="1" applyProtection="1">
      <alignment vertical="center"/>
      <protection locked="0"/>
    </xf>
    <xf numFmtId="164" fontId="3" fillId="2" borderId="12" xfId="0" applyNumberFormat="1" applyFont="1" applyFill="1" applyBorder="1" applyAlignment="1" applyProtection="1">
      <alignment vertical="center"/>
      <protection locked="0"/>
    </xf>
    <xf numFmtId="165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5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 applyBorder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4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4" fontId="3" fillId="4" borderId="8" xfId="0" applyNumberFormat="1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6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7" fontId="3" fillId="2" borderId="11" xfId="4" applyNumberFormat="1" applyFont="1" applyFill="1" applyBorder="1" applyAlignment="1" applyProtection="1">
      <alignment vertical="center"/>
      <protection locked="0"/>
    </xf>
    <xf numFmtId="167" fontId="3" fillId="2" borderId="1" xfId="4" applyNumberFormat="1" applyFont="1" applyFill="1" applyBorder="1" applyAlignment="1" applyProtection="1">
      <alignment vertical="center"/>
      <protection locked="0"/>
    </xf>
    <xf numFmtId="167" fontId="3" fillId="2" borderId="8" xfId="4" applyNumberFormat="1" applyFont="1" applyFill="1" applyBorder="1" applyAlignment="1" applyProtection="1">
      <alignment vertical="center"/>
      <protection locked="0"/>
    </xf>
    <xf numFmtId="167" fontId="3" fillId="2" borderId="2" xfId="4" applyNumberFormat="1" applyFont="1" applyFill="1" applyBorder="1" applyAlignment="1" applyProtection="1">
      <alignment vertical="center"/>
      <protection locked="0"/>
    </xf>
    <xf numFmtId="167" fontId="3" fillId="0" borderId="0" xfId="0" applyNumberFormat="1" applyFont="1"/>
    <xf numFmtId="167" fontId="1" fillId="0" borderId="0" xfId="4" applyNumberFormat="1" applyFont="1"/>
    <xf numFmtId="167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1438275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M26"/>
  <sheetViews>
    <sheetView showGridLines="0" tabSelected="1" zoomScaleNormal="100" workbookViewId="0"/>
  </sheetViews>
  <sheetFormatPr defaultRowHeight="15" x14ac:dyDescent="0.25"/>
  <cols>
    <col min="1" max="1" width="1.42578125" style="1" customWidth="1"/>
    <col min="2" max="2" width="35.85546875" style="1" customWidth="1"/>
    <col min="3" max="7" width="12.42578125" style="1" customWidth="1"/>
    <col min="8" max="8" width="2.5703125" style="4" customWidth="1"/>
    <col min="9" max="9" width="9.5703125" style="1" bestFit="1" customWidth="1"/>
    <col min="10" max="10" width="3.5703125" style="4" customWidth="1"/>
    <col min="11" max="11" width="50.5703125" style="1" customWidth="1"/>
    <col min="12" max="16384" width="9.140625" style="1"/>
  </cols>
  <sheetData>
    <row r="1" spans="1:13" s="25" customFormat="1" ht="21" x14ac:dyDescent="0.35">
      <c r="A1" s="24" t="s">
        <v>13</v>
      </c>
      <c r="H1" s="64"/>
      <c r="J1" s="64"/>
    </row>
    <row r="3" spans="1:13" x14ac:dyDescent="0.25">
      <c r="B3" s="74" t="s">
        <v>15</v>
      </c>
      <c r="C3" s="97"/>
    </row>
    <row r="4" spans="1:13" ht="5.0999999999999996" customHeight="1" x14ac:dyDescent="0.25"/>
    <row r="5" spans="1:13" x14ac:dyDescent="0.25">
      <c r="C5" s="7" t="s">
        <v>0</v>
      </c>
      <c r="D5" s="8" t="s">
        <v>1</v>
      </c>
      <c r="E5" s="8" t="s">
        <v>2</v>
      </c>
      <c r="F5" s="8" t="s">
        <v>3</v>
      </c>
      <c r="G5" s="10" t="s">
        <v>4</v>
      </c>
      <c r="H5" s="1"/>
      <c r="I5" s="10" t="s">
        <v>21</v>
      </c>
      <c r="J5" s="1"/>
      <c r="K5" s="26"/>
      <c r="M5" s="98"/>
    </row>
    <row r="6" spans="1:13" s="5" customFormat="1" x14ac:dyDescent="0.2">
      <c r="B6" s="75" t="str">
        <f t="array" ref="B6:B7">L_ContractTypes</f>
        <v>RMW Access Letters Contract 2022</v>
      </c>
      <c r="C6" s="93">
        <v>0.37151299999999998</v>
      </c>
      <c r="D6" s="93">
        <v>0.30765900000000002</v>
      </c>
      <c r="E6" s="93">
        <v>0.17947099999999999</v>
      </c>
      <c r="F6" s="94">
        <v>0.14135700000000001</v>
      </c>
      <c r="G6" s="30">
        <f>SUM(C6:F6)</f>
        <v>1</v>
      </c>
      <c r="I6" s="100">
        <v>4.4999999999999998E-2</v>
      </c>
      <c r="K6" s="103" t="s">
        <v>46</v>
      </c>
      <c r="M6" s="98"/>
    </row>
    <row r="7" spans="1:13" s="5" customFormat="1" x14ac:dyDescent="0.2">
      <c r="B7" s="76" t="str">
        <v>RMW Wholesale Parcels Contract 2022</v>
      </c>
      <c r="C7" s="95">
        <v>0.34395999999999999</v>
      </c>
      <c r="D7" s="95">
        <v>0.30926199999999998</v>
      </c>
      <c r="E7" s="95">
        <v>0.21156900000000001</v>
      </c>
      <c r="F7" s="96">
        <v>0.135209</v>
      </c>
      <c r="G7" s="36">
        <f>SUM(C7:F7)</f>
        <v>1</v>
      </c>
      <c r="I7" s="90">
        <v>4.4999999999999998E-2</v>
      </c>
      <c r="K7" s="103"/>
      <c r="M7" s="98"/>
    </row>
    <row r="8" spans="1:13" ht="24.95" customHeight="1" x14ac:dyDescent="0.25">
      <c r="C8" s="99"/>
      <c r="D8" s="99"/>
      <c r="E8" s="99"/>
      <c r="F8" s="99"/>
      <c r="H8" s="1"/>
      <c r="J8" s="1"/>
    </row>
    <row r="9" spans="1:13" x14ac:dyDescent="0.25">
      <c r="B9" s="65" t="s">
        <v>20</v>
      </c>
    </row>
    <row r="10" spans="1:13" ht="5.0999999999999996" customHeight="1" x14ac:dyDescent="0.25"/>
    <row r="11" spans="1:13" x14ac:dyDescent="0.25">
      <c r="B11" s="65"/>
      <c r="C11" s="7" t="s">
        <v>0</v>
      </c>
      <c r="D11" s="8" t="s">
        <v>1</v>
      </c>
      <c r="E11" s="8" t="s">
        <v>2</v>
      </c>
      <c r="F11" s="9" t="s">
        <v>3</v>
      </c>
    </row>
    <row r="12" spans="1:13" s="5" customFormat="1" x14ac:dyDescent="0.2">
      <c r="B12" s="15" t="s">
        <v>5</v>
      </c>
      <c r="C12" s="16">
        <v>-7.4706633979044534E-2</v>
      </c>
      <c r="D12" s="17">
        <v>-1.023675897904454E-2</v>
      </c>
      <c r="E12" s="17">
        <v>0.11955686602095546</v>
      </c>
      <c r="F12" s="20">
        <v>5.2052616020955456E-2</v>
      </c>
      <c r="G12" s="101"/>
      <c r="K12" s="102" t="s">
        <v>50</v>
      </c>
    </row>
    <row r="13" spans="1:13" s="5" customFormat="1" x14ac:dyDescent="0.2">
      <c r="B13" s="18" t="s">
        <v>6</v>
      </c>
      <c r="C13" s="21">
        <v>-7.7557405965998361E-2</v>
      </c>
      <c r="D13" s="13">
        <v>-2.8469155965998343E-2</v>
      </c>
      <c r="E13" s="13">
        <v>0.12980571903400165</v>
      </c>
      <c r="F13" s="22">
        <v>8.525709403400164E-2</v>
      </c>
      <c r="G13" s="101"/>
      <c r="K13" s="6"/>
    </row>
    <row r="14" spans="1:13" s="5" customFormat="1" x14ac:dyDescent="0.2">
      <c r="B14" s="18" t="s">
        <v>7</v>
      </c>
      <c r="C14" s="21">
        <v>-0.10440377656027547</v>
      </c>
      <c r="D14" s="13">
        <v>-2.7891199086842487E-2</v>
      </c>
      <c r="E14" s="13">
        <v>0.22630924677416447</v>
      </c>
      <c r="F14" s="22">
        <v>7.3040505746972588E-3</v>
      </c>
      <c r="G14" s="101"/>
      <c r="K14" s="6"/>
    </row>
    <row r="15" spans="1:13" s="5" customFormat="1" x14ac:dyDescent="0.2">
      <c r="B15" s="19"/>
      <c r="C15" s="11"/>
      <c r="D15" s="12"/>
      <c r="E15" s="12"/>
      <c r="F15" s="23"/>
      <c r="G15" s="101"/>
      <c r="K15" s="6"/>
    </row>
    <row r="16" spans="1:13" ht="24.95" customHeight="1" x14ac:dyDescent="0.25">
      <c r="H16" s="1"/>
      <c r="J16" s="1"/>
      <c r="K16" s="4"/>
    </row>
    <row r="17" spans="2:11" x14ac:dyDescent="0.25">
      <c r="B17" s="74" t="s">
        <v>23</v>
      </c>
    </row>
    <row r="18" spans="2:11" ht="5.0999999999999996" customHeight="1" x14ac:dyDescent="0.25"/>
    <row r="19" spans="2:11" x14ac:dyDescent="0.25">
      <c r="C19" s="7" t="s">
        <v>0</v>
      </c>
      <c r="D19" s="8" t="s">
        <v>1</v>
      </c>
      <c r="E19" s="8" t="s">
        <v>2</v>
      </c>
      <c r="F19" s="9" t="s">
        <v>3</v>
      </c>
      <c r="H19" s="1"/>
      <c r="J19" s="1"/>
      <c r="K19" s="4"/>
    </row>
    <row r="20" spans="2:11" s="5" customFormat="1" x14ac:dyDescent="0.2">
      <c r="B20" s="75" t="str">
        <f t="array" ref="B20:B21">L_ContractTypes</f>
        <v>RMW Access Letters Contract 2022</v>
      </c>
      <c r="C20" s="16">
        <v>-7.5177999999999995E-2</v>
      </c>
      <c r="D20" s="17">
        <v>-1.3254E-2</v>
      </c>
      <c r="E20" s="17">
        <v>0.121253</v>
      </c>
      <c r="F20" s="20">
        <v>5.7548000000000002E-2</v>
      </c>
      <c r="G20" s="101"/>
      <c r="K20" s="104" t="s">
        <v>24</v>
      </c>
    </row>
    <row r="21" spans="2:11" s="5" customFormat="1" x14ac:dyDescent="0.2">
      <c r="B21" s="76" t="str">
        <v>RMW Wholesale Parcels Contract 2022</v>
      </c>
      <c r="C21" s="11">
        <v>-0.10440377656027547</v>
      </c>
      <c r="D21" s="12">
        <v>-2.7891199086842487E-2</v>
      </c>
      <c r="E21" s="12">
        <v>0.22630924677416447</v>
      </c>
      <c r="F21" s="23">
        <v>7.3040505746972588E-3</v>
      </c>
      <c r="G21" s="101"/>
      <c r="K21" s="104"/>
    </row>
    <row r="24" spans="2:11" x14ac:dyDescent="0.25">
      <c r="C24" s="92"/>
      <c r="D24" s="92"/>
      <c r="E24" s="92"/>
      <c r="F24" s="92"/>
    </row>
    <row r="25" spans="2:11" x14ac:dyDescent="0.25">
      <c r="C25" s="92"/>
      <c r="D25" s="92"/>
      <c r="E25" s="92"/>
      <c r="F25" s="92"/>
    </row>
    <row r="26" spans="2:11" x14ac:dyDescent="0.25">
      <c r="C26" s="92"/>
      <c r="D26" s="92"/>
      <c r="E26" s="92"/>
      <c r="F26" s="92"/>
    </row>
  </sheetData>
  <sheetProtection sheet="1" objects="1" scenarios="1"/>
  <mergeCells count="2">
    <mergeCell ref="K6:K7"/>
    <mergeCell ref="K20:K21"/>
  </mergeCells>
  <pageMargins left="0.75" right="0.75" top="1" bottom="1" header="0.5" footer="0.5"/>
  <pageSetup orientation="portrait" r:id="rId1"/>
  <headerFooter alignWithMargins="0"/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K11"/>
  <sheetViews>
    <sheetView showGridLines="0" workbookViewId="0"/>
  </sheetViews>
  <sheetFormatPr defaultRowHeight="15" x14ac:dyDescent="0.25"/>
  <cols>
    <col min="1" max="1" width="1.42578125" style="1" customWidth="1"/>
    <col min="2" max="2" width="15" style="1" customWidth="1"/>
    <col min="3" max="3" width="10.5703125" style="1" customWidth="1"/>
    <col min="4" max="4" width="23" style="1" customWidth="1"/>
    <col min="5" max="9" width="12.42578125" style="1" customWidth="1"/>
    <col min="10" max="10" width="3.5703125" style="1" customWidth="1"/>
    <col min="11" max="11" width="54.5703125" style="1" bestFit="1" customWidth="1"/>
    <col min="12" max="16384" width="9.140625" style="1"/>
  </cols>
  <sheetData>
    <row r="1" spans="1:11" s="25" customFormat="1" ht="21" x14ac:dyDescent="0.35">
      <c r="A1" s="24" t="s">
        <v>14</v>
      </c>
    </row>
    <row r="3" spans="1:11" s="5" customFormat="1" ht="18.75" customHeight="1" x14ac:dyDescent="0.2">
      <c r="B3" s="5" t="s">
        <v>27</v>
      </c>
    </row>
    <row r="4" spans="1:11" x14ac:dyDescent="0.25">
      <c r="B4" s="1" t="s">
        <v>21</v>
      </c>
      <c r="C4" s="91">
        <f ca="1">OFFSET(St_Threshold,S_ContractType,0)</f>
        <v>4.4999999999999998E-2</v>
      </c>
      <c r="D4" s="5"/>
      <c r="K4" s="1" t="s">
        <v>49</v>
      </c>
    </row>
    <row r="5" spans="1:11" s="5" customFormat="1" x14ac:dyDescent="0.2"/>
    <row r="6" spans="1:11" s="5" customFormat="1" x14ac:dyDescent="0.25">
      <c r="E6" s="7" t="s">
        <v>0</v>
      </c>
      <c r="F6" s="8" t="s">
        <v>1</v>
      </c>
      <c r="G6" s="8" t="s">
        <v>2</v>
      </c>
      <c r="H6" s="8" t="s">
        <v>3</v>
      </c>
      <c r="I6" s="10" t="s">
        <v>4</v>
      </c>
    </row>
    <row r="7" spans="1:11" s="5" customFormat="1" x14ac:dyDescent="0.2">
      <c r="B7" s="105" t="s">
        <v>15</v>
      </c>
      <c r="C7" s="106"/>
      <c r="D7" s="107"/>
      <c r="E7" s="29">
        <f ca="1">OFFSET(St_ZPP,S_ContractType,1)</f>
        <v>0.37151299999999998</v>
      </c>
      <c r="F7" s="29">
        <f ca="1">OFFSET(St_ZPP,S_ContractType,2)</f>
        <v>0.30765900000000002</v>
      </c>
      <c r="G7" s="29">
        <f ca="1">OFFSET(St_ZPP,S_ContractType,3)</f>
        <v>0.17947099999999999</v>
      </c>
      <c r="H7" s="30">
        <f ca="1">OFFSET(St_ZPP,S_ContractType,4)</f>
        <v>0.14135700000000001</v>
      </c>
      <c r="I7" s="30">
        <f ca="1">SUM(E7:H7)</f>
        <v>1</v>
      </c>
    </row>
    <row r="8" spans="1:11" s="5" customFormat="1" x14ac:dyDescent="0.2">
      <c r="B8" s="108" t="s">
        <v>23</v>
      </c>
      <c r="C8" s="109"/>
      <c r="D8" s="110"/>
      <c r="E8" s="14">
        <f ca="1">OFFSET(St_WAPVP,S_ContractType,1)</f>
        <v>-7.5177999999999995E-2</v>
      </c>
      <c r="F8" s="14">
        <f ca="1">OFFSET(St_WAPVP,S_ContractType,2)</f>
        <v>-1.3254E-2</v>
      </c>
      <c r="G8" s="14">
        <f ca="1">OFFSET(St_WAPVP,S_ContractType,3)</f>
        <v>0.121253</v>
      </c>
      <c r="H8" s="31">
        <f ca="1">OFFSET(St_WAPVP,S_ContractType,4)</f>
        <v>5.7548000000000002E-2</v>
      </c>
      <c r="I8" s="34"/>
    </row>
    <row r="9" spans="1:11" x14ac:dyDescent="0.25">
      <c r="B9" s="111" t="s">
        <v>22</v>
      </c>
      <c r="C9" s="112"/>
      <c r="D9" s="113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26</v>
      </c>
    </row>
    <row r="10" spans="1:11" x14ac:dyDescent="0.25">
      <c r="B10" s="114" t="s">
        <v>16</v>
      </c>
      <c r="C10" s="115"/>
      <c r="D10" s="116"/>
      <c r="E10" s="35">
        <f ca="1">IF(E9="No",E7,E7*(1+Threshold))</f>
        <v>0.37151299999999998</v>
      </c>
      <c r="F10" s="35">
        <f ca="1">IF(F9="No",F7,F7*(1+Threshold))</f>
        <v>0.30765900000000002</v>
      </c>
      <c r="G10" s="35">
        <f ca="1">IF(G9="No",G7,G7*(1+Threshold))</f>
        <v>0.18754719499999997</v>
      </c>
      <c r="H10" s="36">
        <f ca="1">IF(H9="No",H7,H7*(1+Threshold))</f>
        <v>0.14771806500000001</v>
      </c>
      <c r="I10" s="37">
        <f ca="1">SUM(E10:H10)</f>
        <v>1.01443726</v>
      </c>
    </row>
    <row r="11" spans="1:11" s="5" customFormat="1" ht="30" x14ac:dyDescent="0.2">
      <c r="B11" s="117" t="s">
        <v>32</v>
      </c>
      <c r="C11" s="118"/>
      <c r="D11" s="119"/>
      <c r="E11" s="67">
        <f ca="1">IF(E9="No",(E10+E10/SUMIF($E$9:$H$9,"No",$E$10:$H$10)*(1-$I$10)),E10)</f>
        <v>0.36361569302270996</v>
      </c>
      <c r="F11" s="67">
        <f ca="1">IF(F9="No",(F10+F10/SUMIF($E$9:$H$9,"No",$E$10:$H$10)*(1-$I$10)),F10)</f>
        <v>0.30111904697729003</v>
      </c>
      <c r="G11" s="67">
        <f ca="1">IF(G9="No",(G10+G10/SUMIF($E$9:$H$9,"No",$E$10:$H$10)*(1-$I$10)),G10)</f>
        <v>0.18754719499999997</v>
      </c>
      <c r="H11" s="68">
        <f ca="1">IF(H9="No",(H10+H10/SUMIF($E$9:$H$9,"No",$E$10:$H$10)*(1-$I$10)),H10)</f>
        <v>0.14771806500000001</v>
      </c>
      <c r="I11" s="68">
        <f ca="1">SUM(E11:H11)</f>
        <v>1</v>
      </c>
      <c r="K11" s="6" t="s">
        <v>25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1438275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I19"/>
  <sheetViews>
    <sheetView showGridLines="0" workbookViewId="0"/>
  </sheetViews>
  <sheetFormatPr defaultRowHeight="15" x14ac:dyDescent="0.25"/>
  <cols>
    <col min="1" max="1" width="1.42578125" style="1" customWidth="1"/>
    <col min="2" max="2" width="50.140625" style="1" bestFit="1" customWidth="1"/>
    <col min="3" max="6" width="12.42578125" style="1" customWidth="1"/>
    <col min="7" max="7" width="12.5703125" style="1" customWidth="1"/>
    <col min="8" max="8" width="3.5703125" style="1" customWidth="1"/>
    <col min="9" max="9" width="57.5703125" style="1" customWidth="1"/>
    <col min="10" max="16384" width="9.140625" style="1"/>
  </cols>
  <sheetData>
    <row r="1" spans="1:9" s="25" customFormat="1" ht="21" x14ac:dyDescent="0.35">
      <c r="A1" s="24" t="s">
        <v>41</v>
      </c>
    </row>
    <row r="3" spans="1:9" s="5" customFormat="1" ht="18.75" customHeight="1" x14ac:dyDescent="0.2">
      <c r="B3" s="5" t="s">
        <v>27</v>
      </c>
    </row>
    <row r="4" spans="1:9" s="5" customFormat="1" x14ac:dyDescent="0.25">
      <c r="C4" s="7" t="s">
        <v>0</v>
      </c>
      <c r="D4" s="8" t="s">
        <v>1</v>
      </c>
      <c r="E4" s="8" t="s">
        <v>2</v>
      </c>
      <c r="F4" s="8" t="s">
        <v>3</v>
      </c>
      <c r="G4" s="10" t="s">
        <v>4</v>
      </c>
    </row>
    <row r="5" spans="1:9" s="5" customFormat="1" x14ac:dyDescent="0.25">
      <c r="B5" s="41" t="s">
        <v>36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10</v>
      </c>
    </row>
    <row r="6" spans="1:9" s="5" customFormat="1" x14ac:dyDescent="0.2">
      <c r="B6" s="18" t="s">
        <v>8</v>
      </c>
      <c r="C6" s="45"/>
      <c r="D6" s="14"/>
      <c r="E6" s="14"/>
      <c r="F6" s="31"/>
      <c r="G6" s="48">
        <v>10000000</v>
      </c>
      <c r="I6" s="5" t="s">
        <v>11</v>
      </c>
    </row>
    <row r="7" spans="1:9" s="5" customFormat="1" x14ac:dyDescent="0.2">
      <c r="B7" s="18" t="s">
        <v>33</v>
      </c>
      <c r="C7" s="45"/>
      <c r="D7" s="14"/>
      <c r="E7" s="14"/>
      <c r="F7" s="31"/>
      <c r="G7" s="49">
        <v>2000000</v>
      </c>
      <c r="I7" s="5" t="s">
        <v>12</v>
      </c>
    </row>
    <row r="8" spans="1:9" s="5" customFormat="1" x14ac:dyDescent="0.2">
      <c r="B8" s="19" t="s">
        <v>17</v>
      </c>
      <c r="C8" s="46"/>
      <c r="D8" s="35"/>
      <c r="E8" s="35"/>
      <c r="F8" s="36"/>
      <c r="G8" s="50">
        <f>G7/G6*100</f>
        <v>20</v>
      </c>
    </row>
    <row r="9" spans="1:9" x14ac:dyDescent="0.25">
      <c r="B9" s="27" t="s">
        <v>23</v>
      </c>
      <c r="C9" s="51">
        <f ca="1">'Adjusted RM Posting Profile'!E8</f>
        <v>-7.5177999999999995E-2</v>
      </c>
      <c r="D9" s="38">
        <f ca="1">'Adjusted RM Posting Profile'!F8</f>
        <v>-1.3254E-2</v>
      </c>
      <c r="E9" s="38">
        <f ca="1">'Adjusted RM Posting Profile'!G8</f>
        <v>0.121253</v>
      </c>
      <c r="F9" s="39">
        <f ca="1">'Adjusted RM Posting Profile'!H8</f>
        <v>5.7548000000000002E-2</v>
      </c>
      <c r="G9" s="2"/>
      <c r="I9" s="1" t="str">
        <f ca="1">OFFSET(St_ContractTypes,S_ContractType,1)</f>
        <v>Weighted average for letters and large letters formats</v>
      </c>
    </row>
    <row r="10" spans="1:9" x14ac:dyDescent="0.25">
      <c r="B10" s="70" t="s">
        <v>18</v>
      </c>
      <c r="C10" s="52">
        <f ca="1">ROUND($G$8*(1+C9),2)</f>
        <v>18.5</v>
      </c>
      <c r="D10" s="53">
        <f ca="1">ROUND($G$8*(1+D9),2)</f>
        <v>19.73</v>
      </c>
      <c r="E10" s="53">
        <f ca="1">ROUND($G$8*(1+E9),2)</f>
        <v>22.43</v>
      </c>
      <c r="F10" s="54">
        <f ca="1">ROUND($G$8*(1+F9),2)</f>
        <v>21.15</v>
      </c>
      <c r="G10" s="3"/>
    </row>
    <row r="11" spans="1:9" x14ac:dyDescent="0.25">
      <c r="B11" s="55" t="s">
        <v>32</v>
      </c>
      <c r="C11" s="57">
        <f ca="1">'Adjusted RM Posting Profile'!E11</f>
        <v>0.36361569302270996</v>
      </c>
      <c r="D11" s="57">
        <f ca="1">'Adjusted RM Posting Profile'!F11</f>
        <v>0.30111904697729003</v>
      </c>
      <c r="E11" s="57">
        <f ca="1">'Adjusted RM Posting Profile'!G11</f>
        <v>0.18754719499999997</v>
      </c>
      <c r="F11" s="40">
        <f ca="1">'Adjusted RM Posting Profile'!H11</f>
        <v>0.14771806500000001</v>
      </c>
      <c r="G11" s="40">
        <f ca="1">SUM(C11:F11)</f>
        <v>1</v>
      </c>
    </row>
    <row r="12" spans="1:9" x14ac:dyDescent="0.25">
      <c r="B12" s="56" t="s">
        <v>9</v>
      </c>
      <c r="C12" s="58">
        <f ca="1">C11*$G$6</f>
        <v>3636156.9302270995</v>
      </c>
      <c r="D12" s="58">
        <f ca="1">D11*$G$6</f>
        <v>3011190.4697729005</v>
      </c>
      <c r="E12" s="58">
        <f ca="1">E11*$G$6</f>
        <v>1875471.9499999997</v>
      </c>
      <c r="F12" s="59">
        <f ca="1">F11*$G$6</f>
        <v>1477180.6500000001</v>
      </c>
      <c r="G12" s="59">
        <f ca="1">SUM(C12:F12)</f>
        <v>10000000</v>
      </c>
    </row>
    <row r="13" spans="1:9" s="5" customFormat="1" ht="45" customHeight="1" x14ac:dyDescent="0.2">
      <c r="B13" s="66" t="s">
        <v>34</v>
      </c>
      <c r="C13" s="71">
        <f ca="1">C12*C10/100</f>
        <v>672689.0320920134</v>
      </c>
      <c r="D13" s="71">
        <f ca="1">D12*D10/100</f>
        <v>594107.87968619319</v>
      </c>
      <c r="E13" s="71">
        <f ca="1">E12*E10/100</f>
        <v>420668.35838499991</v>
      </c>
      <c r="F13" s="72">
        <f ca="1">F12*F10/100</f>
        <v>312423.707475</v>
      </c>
      <c r="G13" s="72">
        <f ca="1">SUM(C13:F13)</f>
        <v>1999888.9776382064</v>
      </c>
      <c r="I13" s="6" t="s">
        <v>42</v>
      </c>
    </row>
    <row r="14" spans="1:9" x14ac:dyDescent="0.25">
      <c r="B14" s="69" t="s">
        <v>37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">
      <c r="B15" s="66" t="s">
        <v>35</v>
      </c>
      <c r="C15" s="71">
        <f ca="1">C14*C10/100</f>
        <v>740000</v>
      </c>
      <c r="D15" s="71">
        <f ca="1">D14*D10/100</f>
        <v>591900</v>
      </c>
      <c r="E15" s="71">
        <f ca="1">E14*E10/100</f>
        <v>448600</v>
      </c>
      <c r="F15" s="72">
        <f ca="1">F14*F10/100</f>
        <v>211500</v>
      </c>
      <c r="G15" s="72">
        <f ca="1">SUM(C15:F15)</f>
        <v>1992000</v>
      </c>
      <c r="I15" s="6" t="s">
        <v>19</v>
      </c>
    </row>
    <row r="16" spans="1:9" x14ac:dyDescent="0.25">
      <c r="B16" s="73" t="s">
        <v>43</v>
      </c>
      <c r="C16" s="62"/>
      <c r="D16" s="62"/>
      <c r="E16" s="62"/>
      <c r="F16" s="62"/>
      <c r="G16" s="63">
        <f ca="1">IF(G15&lt;=G13,0,G15-G13)</f>
        <v>0</v>
      </c>
    </row>
    <row r="17" spans="2:7" ht="24.95" customHeight="1" x14ac:dyDescent="0.25"/>
    <row r="18" spans="2:7" x14ac:dyDescent="0.25">
      <c r="B18" s="85" t="s">
        <v>44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25">
      <c r="B19" s="87" t="s">
        <v>45</v>
      </c>
      <c r="C19" s="88"/>
      <c r="D19" s="88"/>
      <c r="E19" s="88"/>
      <c r="F19" s="88"/>
      <c r="G19" s="89">
        <f ca="1">G18/G6</f>
        <v>0</v>
      </c>
    </row>
  </sheetData>
  <sheetProtection sheet="1" objects="1" scenarios="1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1000125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G5"/>
  <sheetViews>
    <sheetView showGridLines="0" workbookViewId="0">
      <pane ySplit="3" topLeftCell="A4" activePane="bottomLeft" state="frozen"/>
      <selection pane="bottomLeft" activeCell="B6" sqref="B6"/>
    </sheetView>
  </sheetViews>
  <sheetFormatPr defaultRowHeight="12.75" x14ac:dyDescent="0.2"/>
  <cols>
    <col min="1" max="1" width="1.42578125" style="77" customWidth="1"/>
    <col min="2" max="2" width="35.42578125" style="77" bestFit="1" customWidth="1"/>
    <col min="3" max="3" width="49.85546875" style="77" bestFit="1" customWidth="1"/>
    <col min="4" max="4" width="5.5703125" style="77" customWidth="1"/>
    <col min="5" max="5" width="21" style="77" bestFit="1" customWidth="1"/>
    <col min="6" max="6" width="9.140625" style="77"/>
    <col min="7" max="7" width="31.5703125" style="77" bestFit="1" customWidth="1"/>
    <col min="8" max="16384" width="9.140625" style="77"/>
  </cols>
  <sheetData>
    <row r="1" spans="1:7" s="25" customFormat="1" ht="21" x14ac:dyDescent="0.35">
      <c r="A1" s="24" t="s">
        <v>28</v>
      </c>
    </row>
    <row r="3" spans="1:7" ht="15" x14ac:dyDescent="0.25">
      <c r="B3" s="78" t="s">
        <v>29</v>
      </c>
      <c r="C3" s="78" t="s">
        <v>38</v>
      </c>
      <c r="E3" s="79" t="s">
        <v>30</v>
      </c>
      <c r="F3" s="80"/>
      <c r="G3" s="81"/>
    </row>
    <row r="4" spans="1:7" ht="15" x14ac:dyDescent="0.25">
      <c r="B4" s="56" t="s">
        <v>47</v>
      </c>
      <c r="C4" s="56" t="s">
        <v>39</v>
      </c>
      <c r="E4" s="82" t="s">
        <v>31</v>
      </c>
      <c r="F4" s="83">
        <v>1</v>
      </c>
      <c r="G4" s="84" t="str">
        <f ca="1">OFFSET(St_ContractTypes,S_ContractType,0)</f>
        <v>RMW Access Letters Contract 2022</v>
      </c>
    </row>
    <row r="5" spans="1:7" ht="15" x14ac:dyDescent="0.25">
      <c r="B5" s="28" t="s">
        <v>48</v>
      </c>
      <c r="C5" s="28" t="s">
        <v>40</v>
      </c>
    </row>
  </sheetData>
  <sheetProtection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8" ma:contentTypeDescription="Create a new document." ma:contentTypeScope="" ma:versionID="b5f9986e10dadb87987aa99343b9d47c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f8faa6ecae34ee316b277b3f17e79a7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2ABDAA-FF92-420A-9325-665F14320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Company>Consignia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McMurdie</dc:creator>
  <cp:lastModifiedBy>Chad Bean</cp:lastModifiedBy>
  <dcterms:created xsi:type="dcterms:W3CDTF">2004-01-13T10:31:23Z</dcterms:created>
  <dcterms:modified xsi:type="dcterms:W3CDTF">2022-04-05T12:08:06Z</dcterms:modified>
</cp:coreProperties>
</file>