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4 24-25/Calculators &amp; Website files -Q4/"/>
    </mc:Choice>
  </mc:AlternateContent>
  <xr:revisionPtr revIDLastSave="8" documentId="14_{52999396-EF43-4AA0-85A9-FCF2841BB07C}" xr6:coauthVersionLast="47" xr6:coauthVersionMax="47" xr10:uidLastSave="{AE534B77-A07D-43C0-9ED8-0D550E2748F4}"/>
  <bookViews>
    <workbookView xWindow="-110" yWindow="-110" windowWidth="19420" windowHeight="1162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1" l="1"/>
  <c r="G1" i="10"/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B6" i="9"/>
  <c r="B20" i="9"/>
  <c r="F9" i="11"/>
  <c r="E13" i="11" l="1"/>
  <c r="E10" i="10"/>
  <c r="F10" i="11"/>
  <c r="F15" i="11" s="1"/>
  <c r="G15" i="11" s="1"/>
  <c r="I10" i="10" l="1"/>
  <c r="E11" i="10" l="1"/>
  <c r="C11" i="11" s="1"/>
  <c r="H11" i="10"/>
  <c r="F11" i="11" s="1"/>
  <c r="F12" i="11" s="1"/>
  <c r="F13" i="11" s="1"/>
  <c r="F11" i="10"/>
  <c r="D11" i="11" s="1"/>
  <c r="D12" i="11" s="1"/>
  <c r="D13" i="11" s="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<sst xmlns="http://schemas.openxmlformats.org/spreadsheetml/2006/main" count="76" uniqueCount="52">
  <si>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</si>
  <si>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</si>
  <si>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</si>
  <si>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</si>
  <si>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</si>
  <si>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</si>
  <si>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</si>
  <si>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</si>
  <si>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</si>
  <si>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</si>
  <si>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</si>
  <si>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</si>
  <si>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</si>
  <si>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</si>
  <si>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</si>
  <si>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</si>
  <si>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</si>
  <si>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</si>
  <si>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</si>
  <si>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</si>
  <si>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</si>
  <si>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</si>
  <si>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</si>
  <si>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</si>
  <si>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</si>
  <si>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</si>
  <si>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</si>
  <si>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</si>
  <si>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</si>
  <si>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</si>
  <si>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</si>
  <si>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</si>
  <si>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</si>
  <si>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</si>
  <si>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</si>
  <si>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</si>
  <si>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</si>
  <si>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</si>
  <si>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</si>
  <si>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</si>
  <si>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</si>
  <si>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</si>
  <si>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</si>
  <si>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</si>
  <si>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</si>
  <si>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</si>
  <si>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RMW Access Letters Contract 2024</t>
  </si>
  <si>
    <t>RMW Wholesale Parcels Contract 2024</t>
  </si>
  <si>
    <t>Published on 1st April 2025</t>
  </si>
  <si>
    <t>Percentage of volume by zone. RM profile based on MCS and Mailmark data Period 1-12 2024/25</t>
  </si>
  <si>
    <t>Tolerance allowed in 2025/2026</t>
  </si>
  <si>
    <t>As published at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</si>
</sst>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M26"/>
  <sheetViews>
    <sheetView showGridLines="0" tabSelected="1" zoomScaleNormal="100" workbookViewId="0">
      <selection activeCell="C6" sqref="C6:F6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03" t="s">
        <v>48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2024</v>
      </c>
      <c r="C6" s="101">
        <v>0.37537399999999999</v>
      </c>
      <c r="D6" s="101">
        <v>0.30734600000000001</v>
      </c>
      <c r="E6" s="101">
        <v>0.174258</v>
      </c>
      <c r="F6" s="102">
        <v>0.14302200000000001</v>
      </c>
      <c r="G6" s="30">
        <f>SUM(C6:F6)</f>
        <v>1</v>
      </c>
      <c r="I6" s="98">
        <v>2.8000000000000001E-2</v>
      </c>
      <c r="K6" s="104" t="s">
        <v>49</v>
      </c>
      <c r="M6" s="96"/>
    </row>
    <row r="7" spans="1:13" s="5" customFormat="1" x14ac:dyDescent="0.25">
      <c r="B7" s="76" t="str">
        <v>RMW Wholesale Parcels Contract 2024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2.8000000000000001E-2</v>
      </c>
      <c r="K7" s="104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-6.0571384700362892E-2</v>
      </c>
      <c r="D12" s="17">
        <v>-1.2078873012603103E-2</v>
      </c>
      <c r="E12" s="17">
        <v>8.997098761559448E-2</v>
      </c>
      <c r="F12" s="20">
        <v>6.6707176989233424E-2</v>
      </c>
      <c r="K12" s="6" t="s">
        <v>51</v>
      </c>
    </row>
    <row r="13" spans="1:13" s="5" customFormat="1" x14ac:dyDescent="0.25">
      <c r="B13" s="18" t="s">
        <v>10</v>
      </c>
      <c r="C13" s="21">
        <v>-6.0887314158900398E-2</v>
      </c>
      <c r="D13" s="13">
        <v>-2.0385979514349492E-2</v>
      </c>
      <c r="E13" s="13">
        <v>9.0400763147953977E-2</v>
      </c>
      <c r="F13" s="22">
        <v>8.5672594462110827E-2</v>
      </c>
      <c r="K13" s="6"/>
    </row>
    <row r="14" spans="1:13" s="5" customFormat="1" x14ac:dyDescent="0.25">
      <c r="B14" s="18" t="s">
        <v>11</v>
      </c>
      <c r="C14" s="21">
        <v>-9.8646974128060144E-2</v>
      </c>
      <c r="D14" s="13">
        <v>-2.193405356402419E-2</v>
      </c>
      <c r="E14" s="13">
        <v>0.21428541963272699</v>
      </c>
      <c r="F14" s="22">
        <v>1.0666763689815544E-2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2024</v>
      </c>
      <c r="C20" s="16">
        <v>-6.0608620403443642E-2</v>
      </c>
      <c r="D20" s="17">
        <v>-1.3057955345067759E-2</v>
      </c>
      <c r="E20" s="17">
        <v>9.0021641309581707E-2</v>
      </c>
      <c r="F20" s="20">
        <v>6.8942456526290885E-2</v>
      </c>
      <c r="K20" s="104" t="s">
        <v>13</v>
      </c>
    </row>
    <row r="21" spans="2:11" s="5" customFormat="1" x14ac:dyDescent="0.25">
      <c r="B21" s="76" t="str">
        <v>RMW Wholesale Parcels Contract 2024</v>
      </c>
      <c r="C21" s="11">
        <f>C14</f>
        <v>-9.8646974128060144E-2</v>
      </c>
      <c r="D21" s="12">
        <f t="shared" ref="D21:F21" si="0">D14</f>
        <v>-2.193405356402419E-2</v>
      </c>
      <c r="E21" s="12">
        <f t="shared" si="0"/>
        <v>0.21428541963272699</v>
      </c>
      <c r="F21" s="23">
        <f t="shared" si="0"/>
        <v>1.0666763689815544E-2</v>
      </c>
      <c r="K21" s="104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K11"/>
  <sheetViews>
    <sheetView showGridLines="0" topLeftCell="C1" workbookViewId="0">
      <selection activeCell="F24" sqref="F24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tr">
        <f>Inputs!C1</f>
        <v>Published on 1st April 2025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2.8000000000000001E-2</v>
      </c>
      <c r="D4" s="5"/>
      <c r="K4" s="1" t="s">
        <v>50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5" t="s">
        <v>1</v>
      </c>
      <c r="C7" s="106"/>
      <c r="D7" s="107"/>
      <c r="E7" s="29">
        <f ca="1">OFFSET(St_ZPP,S_ContractType,1)</f>
        <v>0.37537399999999999</v>
      </c>
      <c r="F7" s="29">
        <f ca="1">OFFSET(St_ZPP,S_ContractType,2)</f>
        <v>0.30734600000000001</v>
      </c>
      <c r="G7" s="29">
        <f ca="1">OFFSET(St_ZPP,S_ContractType,3)</f>
        <v>0.174258</v>
      </c>
      <c r="H7" s="30">
        <f ca="1">OFFSET(St_ZPP,S_ContractType,4)</f>
        <v>0.14302200000000001</v>
      </c>
      <c r="I7" s="30">
        <f ca="1">SUM(E7:H7)</f>
        <v>1</v>
      </c>
    </row>
    <row r="8" spans="1:11" s="5" customFormat="1" x14ac:dyDescent="0.25">
      <c r="B8" s="108" t="s">
        <v>12</v>
      </c>
      <c r="C8" s="109"/>
      <c r="D8" s="110"/>
      <c r="E8" s="14">
        <f ca="1">OFFSET(St_WAPVP,S_ContractType,1)</f>
        <v>-6.0608620403443642E-2</v>
      </c>
      <c r="F8" s="14">
        <f ca="1">OFFSET(St_WAPVP,S_ContractType,2)</f>
        <v>-1.3057955345067759E-2</v>
      </c>
      <c r="G8" s="14">
        <f ca="1">OFFSET(St_WAPVP,S_ContractType,3)</f>
        <v>9.0021641309581707E-2</v>
      </c>
      <c r="H8" s="31">
        <f ca="1">OFFSET(St_WAPVP,S_ContractType,4)</f>
        <v>6.8942456526290885E-2</v>
      </c>
      <c r="I8" s="34"/>
    </row>
    <row r="9" spans="1:11" x14ac:dyDescent="0.35">
      <c r="B9" s="111" t="s">
        <v>16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4" t="s">
        <v>18</v>
      </c>
      <c r="C10" s="115"/>
      <c r="D10" s="116"/>
      <c r="E10" s="35">
        <f ca="1">IF(E9="No",E7,E7*(1+Threshold))</f>
        <v>0.37537399999999999</v>
      </c>
      <c r="F10" s="35">
        <f ca="1">IF(F9="No",F7,F7*(1+Threshold))</f>
        <v>0.30734600000000001</v>
      </c>
      <c r="G10" s="35">
        <f ca="1">IF(G9="No",G7,G7*(1+Threshold))</f>
        <v>0.17913722400000001</v>
      </c>
      <c r="H10" s="36">
        <f ca="1">IF(H9="No",H7,H7*(1+Threshold))</f>
        <v>0.14702661600000003</v>
      </c>
      <c r="I10" s="37">
        <f ca="1">SUM(E10:H10)</f>
        <v>1.00888384</v>
      </c>
    </row>
    <row r="11" spans="1:11" s="5" customFormat="1" ht="29" x14ac:dyDescent="0.25">
      <c r="B11" s="117" t="s">
        <v>19</v>
      </c>
      <c r="C11" s="118"/>
      <c r="D11" s="119"/>
      <c r="E11" s="67">
        <f ca="1">IF(E9="No",(E10+E10/SUMIF($E$9:$H$9,"No",$E$10:$H$10)*(1-$I$10)),E10)</f>
        <v>0.37048947551535039</v>
      </c>
      <c r="F11" s="67">
        <f ca="1">IF(F9="No",(F10+F10/SUMIF($E$9:$H$9,"No",$E$10:$H$10)*(1-$I$10)),F10)</f>
        <v>0.30334668448464963</v>
      </c>
      <c r="G11" s="67">
        <f ca="1">IF(G9="No",(G10+G10/SUMIF($E$9:$H$9,"No",$E$10:$H$10)*(1-$I$10)),G10)</f>
        <v>0.17913722400000001</v>
      </c>
      <c r="H11" s="68">
        <f ca="1">IF(H9="No",(H10+H10/SUMIF($E$9:$H$9,"No",$E$10:$H$10)*(1-$I$10)),H10)</f>
        <v>0.14702661600000003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I19"/>
  <sheetViews>
    <sheetView showGridLines="0" workbookViewId="0">
      <selection activeCell="C3" sqref="C3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tr">
        <f>Inputs!C1</f>
        <v>Published on 1st April 2025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-6.0608620403443642E-2</v>
      </c>
      <c r="D9" s="38">
        <f ca="1">'Adjusted RM Posting Profile'!F8</f>
        <v>-1.3057955345067759E-2</v>
      </c>
      <c r="E9" s="38">
        <f ca="1">'Adjusted RM Posting Profile'!G8</f>
        <v>9.0021641309581707E-2</v>
      </c>
      <c r="F9" s="39">
        <f ca="1">'Adjusted RM Posting Profile'!H8</f>
        <v>6.8942456526290885E-2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18.79</v>
      </c>
      <c r="D10" s="53">
        <f ca="1">ROUND($G$8*(1+D9),2)</f>
        <v>19.739999999999998</v>
      </c>
      <c r="E10" s="53">
        <f ca="1">ROUND($G$8*(1+E9),2)</f>
        <v>21.8</v>
      </c>
      <c r="F10" s="54">
        <f ca="1">ROUND($G$8*(1+F9),2)</f>
        <v>21.38</v>
      </c>
      <c r="G10" s="3"/>
    </row>
    <row r="11" spans="1:9" x14ac:dyDescent="0.35">
      <c r="B11" s="55" t="s">
        <v>19</v>
      </c>
      <c r="C11" s="57">
        <f ca="1">'Adjusted RM Posting Profile'!E11</f>
        <v>0.37048947551535039</v>
      </c>
      <c r="D11" s="57">
        <f ca="1">'Adjusted RM Posting Profile'!F11</f>
        <v>0.30334668448464963</v>
      </c>
      <c r="E11" s="57">
        <f ca="1">'Adjusted RM Posting Profile'!G11</f>
        <v>0.17913722400000001</v>
      </c>
      <c r="F11" s="40">
        <f ca="1">'Adjusted RM Posting Profile'!H11</f>
        <v>0.14702661600000003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3704894.7551535037</v>
      </c>
      <c r="D12" s="58">
        <f ca="1">D11*$G$6</f>
        <v>3033466.8448464964</v>
      </c>
      <c r="E12" s="58">
        <f ca="1">E11*$G$6</f>
        <v>1791372.2400000002</v>
      </c>
      <c r="F12" s="59">
        <f ca="1">F11*$G$6</f>
        <v>1470266.1600000004</v>
      </c>
      <c r="G12" s="59">
        <f ca="1">SUM(C12:F12)</f>
        <v>10000000</v>
      </c>
    </row>
    <row r="13" spans="1:9" s="5" customFormat="1" ht="45" customHeight="1" x14ac:dyDescent="0.25">
      <c r="B13" s="66" t="s">
        <v>31</v>
      </c>
      <c r="C13" s="71">
        <f ca="1">C12*C10/100</f>
        <v>696149.72449334338</v>
      </c>
      <c r="D13" s="71">
        <f ca="1">D12*D10/100</f>
        <v>598806.35517269839</v>
      </c>
      <c r="E13" s="71">
        <f ca="1">E12*E10/100</f>
        <v>390519.14832000009</v>
      </c>
      <c r="F13" s="72">
        <f ca="1">F12*F10/100</f>
        <v>314342.90500800009</v>
      </c>
      <c r="G13" s="72">
        <f ca="1">SUM(C13:F13)</f>
        <v>1999818.132994042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751600</v>
      </c>
      <c r="D15" s="71">
        <f ca="1">D14*D10/100</f>
        <v>592199.99999999988</v>
      </c>
      <c r="E15" s="71">
        <f ca="1">E14*E10/100</f>
        <v>436000</v>
      </c>
      <c r="F15" s="72">
        <f ca="1">F14*F10/100</f>
        <v>213800</v>
      </c>
      <c r="G15" s="72">
        <f ca="1">SUM(C15:F15)</f>
        <v>1993600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G5"/>
  <sheetViews>
    <sheetView showGridLines="0" workbookViewId="0">
      <pane ySplit="3" topLeftCell="A4" activePane="bottomLeft" state="frozen"/>
      <selection pane="bottomLeft" activeCell="C14" sqref="C14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46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2024</v>
      </c>
    </row>
    <row r="5" spans="1:7" ht="14.5" x14ac:dyDescent="0.35">
      <c r="B5" s="28" t="s">
        <v>47</v>
      </c>
      <c r="C5" s="28" t="s">
        <v>45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A54E7-AB46-43BC-9DA6-8920C9C4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Chloe Spurgeon</cp:lastModifiedBy>
  <cp:revision/>
  <dcterms:created xsi:type="dcterms:W3CDTF">2004-01-13T10:31:23Z</dcterms:created>
  <dcterms:modified xsi:type="dcterms:W3CDTF">2025-06-04T12:19:43Z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