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chad.bean\OneDrive - Royal Mail Group Ltd\Documents\Wholesale\Contract Monitoring\Price Plan Calculators\2022 calculators\"/>
    </mc:Choice>
  </mc:AlternateContent>
  <xr:revisionPtr revIDLastSave="0" documentId="8_{EBFE2D0D-46E0-4F29-B70F-D7BFFD6BD858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Inputs" sheetId="2" r:id="rId1"/>
    <sheet name="Adjustment Calculator" sheetId="1" r:id="rId2"/>
    <sheet name="Lookups" sheetId="3" state="hidden" r:id="rId3"/>
  </sheets>
  <definedNames>
    <definedName name="L_ContractTypes">Lookups!$B$4:$B$4</definedName>
    <definedName name="S_ContractType">Lookups!$F$4</definedName>
    <definedName name="St_ContractTypes">Lookups!$B$3</definedName>
    <definedName name="St_EWProfile">Inputs!$C$6</definedName>
    <definedName name="ST_NIProfile">Inputs!$M$6</definedName>
    <definedName name="St_SProfile">Inputs!$H$6</definedName>
    <definedName name="St_Threshold">Inputs!$S$6</definedName>
    <definedName name="St_WAPVP">Inputs!$B$19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20" i="2" l="1" a="1"/>
  <c r="B20" i="2" s="1"/>
  <c r="B7" i="2" a="1"/>
  <c r="B7" i="2" s="1"/>
  <c r="G7" i="1"/>
  <c r="G6" i="1"/>
  <c r="G28" i="1"/>
  <c r="I31" i="1"/>
  <c r="F31" i="1"/>
  <c r="E31" i="1"/>
  <c r="D31" i="1"/>
  <c r="C31" i="1"/>
  <c r="L17" i="1"/>
  <c r="K17" i="1"/>
  <c r="J17" i="1"/>
  <c r="I17" i="1"/>
  <c r="F17" i="1"/>
  <c r="E17" i="1"/>
  <c r="D17" i="1"/>
  <c r="C17" i="1"/>
  <c r="G27" i="1"/>
  <c r="G29" i="1" s="1"/>
  <c r="M14" i="1"/>
  <c r="M13" i="1"/>
  <c r="M15" i="1" s="1"/>
  <c r="G14" i="1"/>
  <c r="G13" i="1"/>
  <c r="G15" i="1" s="1"/>
  <c r="O17" i="1"/>
  <c r="F30" i="1"/>
  <c r="F33" i="1" s="1"/>
  <c r="E30" i="1"/>
  <c r="E33" i="1" s="1"/>
  <c r="D30" i="1"/>
  <c r="D33" i="1" s="1"/>
  <c r="C30" i="1"/>
  <c r="C33" i="1" s="1"/>
  <c r="L16" i="1"/>
  <c r="L18" i="1" s="1"/>
  <c r="K16" i="1"/>
  <c r="J16" i="1"/>
  <c r="J18" i="1" s="1"/>
  <c r="I16" i="1"/>
  <c r="I18" i="1" s="1"/>
  <c r="F16" i="1"/>
  <c r="F19" i="1" s="1"/>
  <c r="E16" i="1"/>
  <c r="E19" i="1" s="1"/>
  <c r="D16" i="1"/>
  <c r="D18" i="1" s="1"/>
  <c r="C16" i="1"/>
  <c r="C19" i="1" s="1"/>
  <c r="Q7" i="2"/>
  <c r="L7" i="2"/>
  <c r="G7" i="2"/>
  <c r="G4" i="3"/>
  <c r="G12" i="1"/>
  <c r="G26" i="1"/>
  <c r="M12" i="1"/>
  <c r="I19" i="1" l="1"/>
  <c r="I20" i="1" s="1"/>
  <c r="I21" i="1" s="1"/>
  <c r="F18" i="1"/>
  <c r="F20" i="1" s="1"/>
  <c r="F21" i="1" s="1"/>
  <c r="F22" i="1" s="1"/>
  <c r="D32" i="1"/>
  <c r="D34" i="1" s="1"/>
  <c r="D35" i="1" s="1"/>
  <c r="D36" i="1" s="1"/>
  <c r="C32" i="1"/>
  <c r="C34" i="1" s="1"/>
  <c r="C35" i="1" s="1"/>
  <c r="C36" i="1" s="1"/>
  <c r="J19" i="1"/>
  <c r="J20" i="1" s="1"/>
  <c r="J21" i="1" s="1"/>
  <c r="J22" i="1" s="1"/>
  <c r="D19" i="1"/>
  <c r="D20" i="1" s="1"/>
  <c r="D21" i="1" s="1"/>
  <c r="D22" i="1" s="1"/>
  <c r="M16" i="1"/>
  <c r="K18" i="1"/>
  <c r="F32" i="1"/>
  <c r="F34" i="1" s="1"/>
  <c r="F35" i="1" s="1"/>
  <c r="F36" i="1" s="1"/>
  <c r="G30" i="1"/>
  <c r="L19" i="1"/>
  <c r="L20" i="1" s="1"/>
  <c r="L21" i="1" s="1"/>
  <c r="L22" i="1" s="1"/>
  <c r="E32" i="1"/>
  <c r="E34" i="1" s="1"/>
  <c r="E35" i="1" s="1"/>
  <c r="E36" i="1" s="1"/>
  <c r="K19" i="1"/>
  <c r="G16" i="1"/>
  <c r="C18" i="1"/>
  <c r="C20" i="1" s="1"/>
  <c r="C21" i="1" s="1"/>
  <c r="C22" i="1" s="1"/>
  <c r="E18" i="1"/>
  <c r="E20" i="1" s="1"/>
  <c r="E21" i="1" s="1"/>
  <c r="E22" i="1" s="1"/>
  <c r="K20" i="1" l="1"/>
  <c r="K21" i="1" s="1"/>
  <c r="K22" i="1" s="1"/>
  <c r="G22" i="1"/>
  <c r="I22" i="1"/>
  <c r="M22" i="1" s="1"/>
  <c r="G35" i="1"/>
  <c r="G21" i="1"/>
  <c r="G36" i="1"/>
  <c r="M21" i="1" l="1"/>
  <c r="C39" i="1"/>
  <c r="C38" i="1" s="1"/>
  <c r="D38" i="1" s="1"/>
</calcChain>
</file>

<file path=xl/sharedStrings.xml><?xml version="1.0" encoding="utf-8"?>
<sst xmlns="http://schemas.openxmlformats.org/spreadsheetml/2006/main" count="97" uniqueCount="47">
  <si>
    <t>Zone A</t>
  </si>
  <si>
    <t>Zone B</t>
  </si>
  <si>
    <t>Zone C</t>
  </si>
  <si>
    <t>Zone D</t>
  </si>
  <si>
    <t>Zonal price mark up</t>
  </si>
  <si>
    <t>England &amp; Wales</t>
  </si>
  <si>
    <t>Scotland</t>
  </si>
  <si>
    <t>Northern Ireland</t>
  </si>
  <si>
    <t>TOTAL</t>
  </si>
  <si>
    <t>Threshold - lower</t>
  </si>
  <si>
    <t>Threshold - upper</t>
  </si>
  <si>
    <t>Variation on threshold</t>
  </si>
  <si>
    <t>Customer Volume</t>
  </si>
  <si>
    <t>London</t>
  </si>
  <si>
    <t>Customer profile by Region</t>
  </si>
  <si>
    <t>Inputs to calculator</t>
  </si>
  <si>
    <t>RMG Regional Profile</t>
  </si>
  <si>
    <t>Invoiced Amount by Region</t>
  </si>
  <si>
    <t>Customer Average Price by Region</t>
  </si>
  <si>
    <t>Royal Mail zonal profile percentage</t>
  </si>
  <si>
    <t>Zonal variance percentage</t>
  </si>
  <si>
    <t>Letters</t>
  </si>
  <si>
    <t>Large Letters</t>
  </si>
  <si>
    <t>Weighted average price variance percentage (WAPVP)</t>
  </si>
  <si>
    <t>Lookups</t>
  </si>
  <si>
    <t>Contract Types</t>
  </si>
  <si>
    <t>Weighted average message…</t>
  </si>
  <si>
    <t>Key Information</t>
  </si>
  <si>
    <t>Weighted average for letters and large letters formats</t>
  </si>
  <si>
    <t>Selected contract type</t>
  </si>
  <si>
    <t>Tolerance</t>
  </si>
  <si>
    <t>Customer Volume by Region</t>
  </si>
  <si>
    <t>Regional Calculators</t>
  </si>
  <si>
    <t>TOTAL INVOICED AMOUNT</t>
  </si>
  <si>
    <t>Customer Spend</t>
  </si>
  <si>
    <t>Customer Volume and Spend by Region</t>
  </si>
  <si>
    <t>Customer volume by region</t>
  </si>
  <si>
    <t>Total customer spend on the regional price plan by region</t>
  </si>
  <si>
    <t>Weighted average of zonal variance percentages and Royal Mail's percentage of revenue</t>
  </si>
  <si>
    <t>ADJUSTMENT</t>
  </si>
  <si>
    <t>TOTAL ADJUSTMENT</t>
  </si>
  <si>
    <t>Adjustment items</t>
  </si>
  <si>
    <t>Total Adjustment Items</t>
  </si>
  <si>
    <t>Percentage of volume by zone. RM profile based on MCS and Mailmark data 2019/20</t>
  </si>
  <si>
    <t>Adjustment calculator</t>
  </si>
  <si>
    <t>RMW Access Letters Contract 2022</t>
  </si>
  <si>
    <t>As published for Tariff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</si>
</sst>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0.0%"/>
    <numFmt numFmtId="165" formatCode="&quot;£&quot;#,##0"/>
    <numFmt numFmtId="166" formatCode="0.000\p"/>
    <numFmt numFmtId="167" formatCode="_-* #,##0_-;\-* #,##0_-;_-* &quot;-&quot;??_-;_-@_-"/>
    <numFmt numFmtId="168" formatCode="0.00\p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sz val="10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rgb="FF0000FF"/>
      <name val="Calibri"/>
      <family val="2"/>
      <scheme val="minor"/>
    </font>
    <font>
      <b/>
      <i/>
      <sz val="11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1"/>
      <color rgb="FF1F497D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4">
    <xf numFmtId="0" fontId="0" fillId="0" borderId="0"/>
    <xf numFmtId="43" fontId="2" fillId="0" borderId="0" applyFont="0" applyFill="0" applyBorder="0" applyAlignment="0" applyProtection="0"/>
    <xf numFmtId="0" fontId="1" fillId="0" borderId="0"/>
    <xf numFmtId="9" fontId="2" fillId="0" borderId="0" applyFont="0" applyFill="0" applyBorder="0" applyAlignment="0" applyProtection="0"/>
  </cellStyleXfs>
  <cellXfs count="142">
    <xf numFmtId="0" fontId="0" fillId="0" borderId="0" xfId="0"/>
    <xf numFmtId="10" fontId="3" fillId="2" borderId="1" xfId="3" applyNumberFormat="1" applyFont="1" applyFill="1" applyBorder="1" applyAlignment="1" applyProtection="1">
      <alignment vertical="center"/>
      <protection locked="0"/>
    </xf>
    <xf numFmtId="10" fontId="3" fillId="2" borderId="2" xfId="3" applyNumberFormat="1" applyFont="1" applyFill="1" applyBorder="1" applyAlignment="1" applyProtection="1">
      <alignment vertical="center"/>
      <protection locked="0"/>
    </xf>
    <xf numFmtId="10" fontId="3" fillId="2" borderId="3" xfId="3" applyNumberFormat="1" applyFont="1" applyFill="1" applyBorder="1" applyAlignment="1" applyProtection="1">
      <alignment vertical="center"/>
      <protection locked="0"/>
    </xf>
    <xf numFmtId="10" fontId="3" fillId="2" borderId="4" xfId="3" applyNumberFormat="1" applyFont="1" applyFill="1" applyBorder="1" applyAlignment="1" applyProtection="1">
      <alignment vertical="center"/>
      <protection locked="0"/>
    </xf>
    <xf numFmtId="10" fontId="3" fillId="2" borderId="5" xfId="3" applyNumberFormat="1" applyFont="1" applyFill="1" applyBorder="1" applyAlignment="1" applyProtection="1">
      <alignment vertical="center"/>
      <protection locked="0"/>
    </xf>
    <xf numFmtId="10" fontId="3" fillId="2" borderId="6" xfId="3" applyNumberFormat="1" applyFont="1" applyFill="1" applyBorder="1" applyAlignment="1" applyProtection="1">
      <alignment vertical="center"/>
      <protection locked="0"/>
    </xf>
    <xf numFmtId="0" fontId="4" fillId="3" borderId="0" xfId="2" applyFont="1" applyFill="1"/>
    <xf numFmtId="0" fontId="5" fillId="3" borderId="0" xfId="2" applyFont="1" applyFill="1"/>
    <xf numFmtId="0" fontId="6" fillId="0" borderId="0" xfId="2" applyFont="1"/>
    <xf numFmtId="0" fontId="7" fillId="0" borderId="7" xfId="2" applyFont="1" applyBorder="1"/>
    <xf numFmtId="0" fontId="3" fillId="0" borderId="8" xfId="2" applyFont="1" applyBorder="1"/>
    <xf numFmtId="0" fontId="6" fillId="0" borderId="9" xfId="2" applyFont="1" applyBorder="1"/>
    <xf numFmtId="0" fontId="6" fillId="0" borderId="10" xfId="2" applyFont="1" applyBorder="1"/>
    <xf numFmtId="0" fontId="3" fillId="4" borderId="8" xfId="2" applyFont="1" applyFill="1" applyBorder="1"/>
    <xf numFmtId="0" fontId="3" fillId="4" borderId="8" xfId="2" applyFont="1" applyFill="1" applyBorder="1" applyAlignment="1" applyProtection="1">
      <alignment horizontal="center"/>
      <protection locked="0"/>
    </xf>
    <xf numFmtId="0" fontId="3" fillId="4" borderId="10" xfId="2" applyFont="1" applyFill="1" applyBorder="1"/>
    <xf numFmtId="0" fontId="3" fillId="0" borderId="11" xfId="2" applyFont="1" applyBorder="1"/>
    <xf numFmtId="0" fontId="4" fillId="3" borderId="0" xfId="0" applyFont="1" applyFill="1" applyProtection="1"/>
    <xf numFmtId="0" fontId="5" fillId="3" borderId="0" xfId="0" applyFont="1" applyFill="1" applyProtection="1"/>
    <xf numFmtId="0" fontId="5" fillId="3" borderId="0" xfId="0" applyFont="1" applyFill="1" applyAlignment="1" applyProtection="1">
      <alignment wrapText="1"/>
    </xf>
    <xf numFmtId="0" fontId="0" fillId="0" borderId="0" xfId="0" applyProtection="1"/>
    <xf numFmtId="0" fontId="8" fillId="0" borderId="0" xfId="0" applyFont="1" applyProtection="1"/>
    <xf numFmtId="0" fontId="3" fillId="0" borderId="0" xfId="0" applyFont="1" applyProtection="1"/>
    <xf numFmtId="0" fontId="3" fillId="0" borderId="0" xfId="0" applyFont="1" applyAlignment="1" applyProtection="1">
      <alignment wrapText="1"/>
    </xf>
    <xf numFmtId="0" fontId="0" fillId="0" borderId="0" xfId="0" applyFill="1" applyBorder="1" applyProtection="1"/>
    <xf numFmtId="0" fontId="3" fillId="0" borderId="0" xfId="0" applyFont="1" applyFill="1" applyBorder="1" applyProtection="1"/>
    <xf numFmtId="0" fontId="3" fillId="0" borderId="8" xfId="0" applyFont="1" applyFill="1" applyBorder="1" applyAlignment="1" applyProtection="1">
      <alignment vertical="center"/>
    </xf>
    <xf numFmtId="0" fontId="3" fillId="0" borderId="9" xfId="0" applyFont="1" applyFill="1" applyBorder="1" applyAlignment="1" applyProtection="1">
      <alignment horizontal="center"/>
    </xf>
    <xf numFmtId="0" fontId="3" fillId="0" borderId="9" xfId="0" applyFont="1" applyFill="1" applyBorder="1" applyProtection="1"/>
    <xf numFmtId="0" fontId="0" fillId="0" borderId="10" xfId="0" applyFill="1" applyBorder="1" applyProtection="1"/>
    <xf numFmtId="0" fontId="3" fillId="0" borderId="7" xfId="0" applyFont="1" applyFill="1" applyBorder="1" applyAlignment="1" applyProtection="1">
      <alignment vertical="center"/>
    </xf>
    <xf numFmtId="0" fontId="0" fillId="0" borderId="9" xfId="0" applyFill="1" applyBorder="1" applyProtection="1"/>
    <xf numFmtId="0" fontId="3" fillId="0" borderId="0" xfId="0" applyFont="1" applyFill="1" applyBorder="1" applyAlignment="1" applyProtection="1">
      <alignment vertical="center" wrapText="1"/>
    </xf>
    <xf numFmtId="10" fontId="3" fillId="0" borderId="12" xfId="3" applyNumberFormat="1" applyFont="1" applyFill="1" applyBorder="1" applyAlignment="1" applyProtection="1">
      <alignment horizontal="center" vertical="center"/>
    </xf>
    <xf numFmtId="10" fontId="3" fillId="0" borderId="0" xfId="3" applyNumberFormat="1" applyFont="1" applyFill="1" applyBorder="1" applyAlignment="1" applyProtection="1">
      <alignment horizontal="center" vertical="center"/>
    </xf>
    <xf numFmtId="10" fontId="3" fillId="0" borderId="13" xfId="3" applyNumberFormat="1" applyFont="1" applyFill="1" applyBorder="1" applyAlignment="1" applyProtection="1">
      <alignment horizontal="center" vertical="center"/>
    </xf>
    <xf numFmtId="10" fontId="3" fillId="0" borderId="11" xfId="0" applyNumberFormat="1" applyFont="1" applyFill="1" applyBorder="1" applyAlignment="1" applyProtection="1">
      <alignment horizontal="center" vertical="center"/>
    </xf>
    <xf numFmtId="10" fontId="3" fillId="0" borderId="6" xfId="3" applyNumberFormat="1" applyFont="1" applyFill="1" applyBorder="1" applyAlignment="1" applyProtection="1">
      <alignment horizontal="center" vertical="center"/>
    </xf>
    <xf numFmtId="10" fontId="3" fillId="0" borderId="3" xfId="3" applyNumberFormat="1" applyFont="1" applyFill="1" applyBorder="1" applyAlignment="1" applyProtection="1">
      <alignment horizontal="center" vertical="center"/>
    </xf>
    <xf numFmtId="10" fontId="3" fillId="0" borderId="4" xfId="3" applyNumberFormat="1" applyFont="1" applyFill="1" applyBorder="1" applyAlignment="1" applyProtection="1">
      <alignment horizontal="center" vertical="center"/>
    </xf>
    <xf numFmtId="10" fontId="3" fillId="0" borderId="14" xfId="0" applyNumberFormat="1" applyFont="1" applyFill="1" applyBorder="1" applyAlignment="1" applyProtection="1">
      <alignment horizontal="center" vertical="center"/>
    </xf>
    <xf numFmtId="0" fontId="3" fillId="0" borderId="7" xfId="0" applyFont="1" applyBorder="1" applyAlignment="1" applyProtection="1">
      <alignment horizontal="center"/>
    </xf>
    <xf numFmtId="10" fontId="3" fillId="0" borderId="0" xfId="3" applyNumberFormat="1" applyFont="1" applyFill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9" fillId="0" borderId="0" xfId="0" applyFont="1" applyProtection="1"/>
    <xf numFmtId="0" fontId="3" fillId="0" borderId="8" xfId="0" applyFont="1" applyBorder="1" applyAlignment="1" applyProtection="1">
      <alignment horizontal="center"/>
    </xf>
    <xf numFmtId="0" fontId="3" fillId="0" borderId="9" xfId="0" applyFont="1" applyBorder="1" applyAlignment="1" applyProtection="1">
      <alignment horizontal="center"/>
    </xf>
    <xf numFmtId="0" fontId="3" fillId="0" borderId="10" xfId="0" applyFont="1" applyBorder="1" applyAlignment="1" applyProtection="1">
      <alignment horizontal="center"/>
    </xf>
    <xf numFmtId="0" fontId="3" fillId="0" borderId="15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14" xfId="0" applyFont="1" applyBorder="1" applyAlignment="1" applyProtection="1">
      <alignment vertical="center"/>
    </xf>
    <xf numFmtId="0" fontId="3" fillId="0" borderId="0" xfId="0" applyFont="1" applyAlignment="1" applyProtection="1">
      <alignment vertical="center" wrapText="1"/>
    </xf>
    <xf numFmtId="0" fontId="3" fillId="0" borderId="11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164" fontId="3" fillId="0" borderId="0" xfId="0" applyNumberFormat="1" applyFont="1" applyFill="1" applyAlignment="1" applyProtection="1">
      <alignment horizontal="center" vertical="center"/>
    </xf>
    <xf numFmtId="10" fontId="3" fillId="0" borderId="15" xfId="0" applyNumberFormat="1" applyFont="1" applyFill="1" applyBorder="1" applyAlignment="1" applyProtection="1"/>
    <xf numFmtId="0" fontId="3" fillId="0" borderId="12" xfId="0" applyFont="1" applyBorder="1" applyProtection="1"/>
    <xf numFmtId="0" fontId="3" fillId="0" borderId="0" xfId="0" applyFont="1" applyBorder="1" applyProtection="1"/>
    <xf numFmtId="10" fontId="3" fillId="0" borderId="12" xfId="3" applyNumberFormat="1" applyFont="1" applyBorder="1" applyProtection="1"/>
    <xf numFmtId="10" fontId="3" fillId="0" borderId="0" xfId="3" applyNumberFormat="1" applyFont="1" applyBorder="1" applyProtection="1"/>
    <xf numFmtId="10" fontId="3" fillId="0" borderId="13" xfId="3" applyNumberFormat="1" applyFont="1" applyBorder="1" applyProtection="1"/>
    <xf numFmtId="166" fontId="3" fillId="0" borderId="0" xfId="0" applyNumberFormat="1" applyFont="1" applyBorder="1" applyAlignment="1" applyProtection="1">
      <alignment vertical="center"/>
    </xf>
    <xf numFmtId="0" fontId="7" fillId="0" borderId="0" xfId="0" applyFont="1" applyProtection="1"/>
    <xf numFmtId="2" fontId="3" fillId="0" borderId="0" xfId="0" applyNumberFormat="1" applyFont="1" applyProtection="1"/>
    <xf numFmtId="10" fontId="3" fillId="0" borderId="0" xfId="3" applyNumberFormat="1" applyFont="1" applyProtection="1"/>
    <xf numFmtId="10" fontId="3" fillId="0" borderId="2" xfId="3" applyNumberFormat="1" applyFont="1" applyFill="1" applyBorder="1" applyProtection="1"/>
    <xf numFmtId="0" fontId="3" fillId="0" borderId="0" xfId="0" applyFont="1" applyFill="1" applyAlignment="1" applyProtection="1">
      <alignment vertical="center"/>
    </xf>
    <xf numFmtId="10" fontId="3" fillId="0" borderId="12" xfId="0" applyNumberFormat="1" applyFont="1" applyBorder="1" applyProtection="1"/>
    <xf numFmtId="10" fontId="3" fillId="0" borderId="14" xfId="0" applyNumberFormat="1" applyFont="1" applyBorder="1" applyProtection="1"/>
    <xf numFmtId="10" fontId="3" fillId="0" borderId="13" xfId="0" applyNumberFormat="1" applyFont="1" applyBorder="1" applyProtection="1"/>
    <xf numFmtId="168" fontId="3" fillId="0" borderId="13" xfId="0" applyNumberFormat="1" applyFont="1" applyBorder="1" applyAlignment="1" applyProtection="1">
      <alignment vertical="center"/>
    </xf>
    <xf numFmtId="166" fontId="3" fillId="0" borderId="11" xfId="0" applyNumberFormat="1" applyFont="1" applyBorder="1" applyAlignment="1" applyProtection="1">
      <alignment vertical="center"/>
    </xf>
    <xf numFmtId="10" fontId="3" fillId="0" borderId="15" xfId="0" applyNumberFormat="1" applyFont="1" applyBorder="1" applyProtection="1"/>
    <xf numFmtId="0" fontId="3" fillId="0" borderId="11" xfId="0" applyFont="1" applyBorder="1" applyProtection="1"/>
    <xf numFmtId="10" fontId="3" fillId="0" borderId="6" xfId="3" applyNumberFormat="1" applyFont="1" applyBorder="1" applyProtection="1"/>
    <xf numFmtId="10" fontId="3" fillId="0" borderId="3" xfId="3" applyNumberFormat="1" applyFont="1" applyBorder="1" applyProtection="1"/>
    <xf numFmtId="10" fontId="3" fillId="0" borderId="11" xfId="0" applyNumberFormat="1" applyFont="1" applyBorder="1" applyProtection="1"/>
    <xf numFmtId="0" fontId="3" fillId="0" borderId="15" xfId="0" applyFont="1" applyBorder="1" applyProtection="1"/>
    <xf numFmtId="10" fontId="3" fillId="0" borderId="1" xfId="0" applyNumberFormat="1" applyFont="1" applyBorder="1" applyProtection="1"/>
    <xf numFmtId="10" fontId="3" fillId="0" borderId="5" xfId="0" applyNumberFormat="1" applyFont="1" applyBorder="1" applyProtection="1"/>
    <xf numFmtId="0" fontId="3" fillId="0" borderId="14" xfId="0" applyFont="1" applyBorder="1" applyProtection="1"/>
    <xf numFmtId="3" fontId="3" fillId="0" borderId="0" xfId="0" applyNumberFormat="1" applyFont="1" applyBorder="1" applyProtection="1"/>
    <xf numFmtId="3" fontId="3" fillId="0" borderId="11" xfId="0" applyNumberFormat="1" applyFont="1" applyBorder="1" applyProtection="1"/>
    <xf numFmtId="3" fontId="3" fillId="0" borderId="12" xfId="0" applyNumberFormat="1" applyFont="1" applyBorder="1" applyProtection="1"/>
    <xf numFmtId="0" fontId="7" fillId="4" borderId="7" xfId="0" applyFont="1" applyFill="1" applyBorder="1" applyProtection="1"/>
    <xf numFmtId="165" fontId="3" fillId="4" borderId="9" xfId="0" applyNumberFormat="1" applyFont="1" applyFill="1" applyBorder="1" applyProtection="1"/>
    <xf numFmtId="165" fontId="7" fillId="4" borderId="7" xfId="0" applyNumberFormat="1" applyFont="1" applyFill="1" applyBorder="1" applyProtection="1"/>
    <xf numFmtId="165" fontId="3" fillId="4" borderId="8" xfId="0" applyNumberFormat="1" applyFont="1" applyFill="1" applyBorder="1" applyProtection="1"/>
    <xf numFmtId="43" fontId="3" fillId="0" borderId="0" xfId="1" applyNumberFormat="1" applyFont="1" applyProtection="1"/>
    <xf numFmtId="167" fontId="3" fillId="0" borderId="0" xfId="1" applyNumberFormat="1" applyFont="1" applyProtection="1"/>
    <xf numFmtId="165" fontId="3" fillId="4" borderId="7" xfId="0" applyNumberFormat="1" applyFont="1" applyFill="1" applyBorder="1" applyProtection="1"/>
    <xf numFmtId="0" fontId="7" fillId="0" borderId="0" xfId="0" applyFont="1" applyBorder="1" applyProtection="1"/>
    <xf numFmtId="167" fontId="3" fillId="0" borderId="0" xfId="1" applyNumberFormat="1" applyFont="1" applyBorder="1" applyProtection="1"/>
    <xf numFmtId="0" fontId="11" fillId="0" borderId="0" xfId="0" applyFont="1" applyProtection="1"/>
    <xf numFmtId="0" fontId="12" fillId="0" borderId="0" xfId="0" applyFont="1" applyProtection="1"/>
    <xf numFmtId="10" fontId="3" fillId="2" borderId="5" xfId="3" applyNumberFormat="1" applyFont="1" applyFill="1" applyBorder="1" applyProtection="1">
      <protection locked="0"/>
    </xf>
    <xf numFmtId="10" fontId="3" fillId="2" borderId="1" xfId="3" applyNumberFormat="1" applyFont="1" applyFill="1" applyBorder="1" applyProtection="1">
      <protection locked="0"/>
    </xf>
    <xf numFmtId="167" fontId="3" fillId="0" borderId="0" xfId="0" applyNumberFormat="1" applyFont="1" applyProtection="1"/>
    <xf numFmtId="0" fontId="3" fillId="0" borderId="0" xfId="0" applyFont="1" applyFill="1" applyProtection="1"/>
    <xf numFmtId="0" fontId="7" fillId="0" borderId="0" xfId="0" applyFont="1" applyFill="1" applyBorder="1" applyProtection="1"/>
    <xf numFmtId="165" fontId="3" fillId="0" borderId="0" xfId="0" applyNumberFormat="1" applyFont="1" applyFill="1" applyBorder="1" applyProtection="1"/>
    <xf numFmtId="165" fontId="7" fillId="0" borderId="0" xfId="0" applyNumberFormat="1" applyFont="1" applyFill="1" applyBorder="1" applyProtection="1"/>
    <xf numFmtId="10" fontId="3" fillId="0" borderId="13" xfId="3" applyNumberFormat="1" applyFont="1" applyFill="1" applyBorder="1" applyProtection="1"/>
    <xf numFmtId="10" fontId="3" fillId="0" borderId="4" xfId="3" applyNumberFormat="1" applyFont="1" applyFill="1" applyBorder="1" applyProtection="1"/>
    <xf numFmtId="164" fontId="7" fillId="0" borderId="0" xfId="0" applyNumberFormat="1" applyFont="1" applyFill="1" applyAlignment="1" applyProtection="1">
      <alignment horizontal="left" vertical="center"/>
    </xf>
    <xf numFmtId="10" fontId="3" fillId="0" borderId="6" xfId="0" applyNumberFormat="1" applyFont="1" applyBorder="1" applyProtection="1"/>
    <xf numFmtId="10" fontId="3" fillId="0" borderId="4" xfId="3" applyNumberFormat="1" applyFont="1" applyBorder="1" applyProtection="1"/>
    <xf numFmtId="168" fontId="3" fillId="0" borderId="11" xfId="0" applyNumberFormat="1" applyFont="1" applyBorder="1" applyAlignment="1" applyProtection="1">
      <alignment vertical="center"/>
    </xf>
    <xf numFmtId="10" fontId="3" fillId="0" borderId="0" xfId="3" applyNumberFormat="1" applyFont="1" applyFill="1" applyBorder="1" applyProtection="1"/>
    <xf numFmtId="3" fontId="3" fillId="2" borderId="12" xfId="0" applyNumberFormat="1" applyFont="1" applyFill="1" applyBorder="1" applyAlignment="1" applyProtection="1">
      <alignment vertical="center"/>
      <protection locked="0"/>
    </xf>
    <xf numFmtId="165" fontId="3" fillId="2" borderId="4" xfId="0" applyNumberFormat="1" applyFont="1" applyFill="1" applyBorder="1" applyAlignment="1" applyProtection="1">
      <alignment vertical="center"/>
      <protection locked="0"/>
    </xf>
    <xf numFmtId="3" fontId="3" fillId="0" borderId="13" xfId="0" applyNumberFormat="1" applyFont="1" applyFill="1" applyBorder="1" applyAlignment="1" applyProtection="1">
      <alignment vertical="center"/>
    </xf>
    <xf numFmtId="165" fontId="3" fillId="0" borderId="13" xfId="0" applyNumberFormat="1" applyFont="1" applyFill="1" applyBorder="1" applyAlignment="1" applyProtection="1">
      <alignment vertical="center"/>
    </xf>
    <xf numFmtId="10" fontId="3" fillId="0" borderId="12" xfId="3" applyNumberFormat="1" applyFont="1" applyFill="1" applyBorder="1" applyProtection="1"/>
    <xf numFmtId="10" fontId="3" fillId="0" borderId="6" xfId="3" applyNumberFormat="1" applyFont="1" applyFill="1" applyBorder="1" applyProtection="1"/>
    <xf numFmtId="10" fontId="3" fillId="0" borderId="3" xfId="3" applyNumberFormat="1" applyFont="1" applyFill="1" applyBorder="1" applyProtection="1"/>
    <xf numFmtId="3" fontId="3" fillId="2" borderId="0" xfId="0" applyNumberFormat="1" applyFont="1" applyFill="1" applyBorder="1" applyAlignment="1" applyProtection="1">
      <alignment vertical="center"/>
      <protection locked="0"/>
    </xf>
    <xf numFmtId="0" fontId="3" fillId="0" borderId="15" xfId="0" applyFont="1" applyBorder="1" applyAlignment="1" applyProtection="1">
      <alignment horizontal="left" vertical="center" wrapText="1"/>
    </xf>
    <xf numFmtId="0" fontId="3" fillId="0" borderId="11" xfId="0" applyFont="1" applyBorder="1" applyAlignment="1" applyProtection="1">
      <alignment horizontal="left" vertical="center" wrapText="1"/>
    </xf>
    <xf numFmtId="164" fontId="3" fillId="0" borderId="8" xfId="0" applyNumberFormat="1" applyFont="1" applyFill="1" applyBorder="1" applyAlignment="1" applyProtection="1">
      <alignment horizontal="center" vertical="center" wrapText="1"/>
    </xf>
    <xf numFmtId="164" fontId="3" fillId="0" borderId="9" xfId="0" applyNumberFormat="1" applyFont="1" applyFill="1" applyBorder="1" applyAlignment="1" applyProtection="1">
      <alignment horizontal="center" vertical="center" wrapText="1"/>
    </xf>
    <xf numFmtId="164" fontId="3" fillId="0" borderId="10" xfId="0" applyNumberFormat="1" applyFont="1" applyFill="1" applyBorder="1" applyAlignment="1" applyProtection="1">
      <alignment horizontal="center" vertical="center" wrapText="1"/>
    </xf>
    <xf numFmtId="3" fontId="3" fillId="2" borderId="13" xfId="0" applyNumberFormat="1" applyFont="1" applyFill="1" applyBorder="1" applyAlignment="1" applyProtection="1">
      <alignment vertical="center"/>
      <protection locked="0"/>
    </xf>
    <xf numFmtId="165" fontId="3" fillId="2" borderId="6" xfId="0" applyNumberFormat="1" applyFont="1" applyFill="1" applyBorder="1" applyAlignment="1" applyProtection="1">
      <alignment vertical="center"/>
      <protection locked="0"/>
    </xf>
    <xf numFmtId="165" fontId="3" fillId="2" borderId="3" xfId="0" applyNumberFormat="1" applyFont="1" applyFill="1" applyBorder="1" applyAlignment="1" applyProtection="1">
      <alignment vertical="center"/>
      <protection locked="0"/>
    </xf>
    <xf numFmtId="164" fontId="3" fillId="0" borderId="7" xfId="0" applyNumberFormat="1" applyFont="1" applyFill="1" applyBorder="1" applyAlignment="1" applyProtection="1">
      <alignment horizontal="center" vertical="center" wrapText="1"/>
    </xf>
    <xf numFmtId="10" fontId="0" fillId="0" borderId="0" xfId="0" applyNumberFormat="1" applyProtection="1"/>
    <xf numFmtId="3" fontId="3" fillId="0" borderId="15" xfId="0" applyNumberFormat="1" applyFont="1" applyBorder="1" applyAlignment="1" applyProtection="1">
      <alignment vertical="center"/>
    </xf>
    <xf numFmtId="165" fontId="3" fillId="0" borderId="4" xfId="0" applyNumberFormat="1" applyFont="1" applyFill="1" applyBorder="1" applyAlignment="1" applyProtection="1">
      <alignment vertical="center"/>
    </xf>
    <xf numFmtId="0" fontId="3" fillId="0" borderId="11" xfId="0" applyFont="1" applyBorder="1"/>
    <xf numFmtId="0" fontId="3" fillId="0" borderId="8" xfId="0" applyFont="1" applyBorder="1" applyAlignment="1" applyProtection="1">
      <alignment vertical="center" wrapText="1"/>
    </xf>
    <xf numFmtId="10" fontId="3" fillId="2" borderId="8" xfId="3" applyNumberFormat="1" applyFont="1" applyFill="1" applyBorder="1" applyAlignment="1" applyProtection="1">
      <alignment vertical="center"/>
      <protection locked="0"/>
    </xf>
    <xf numFmtId="10" fontId="3" fillId="2" borderId="9" xfId="3" applyNumberFormat="1" applyFont="1" applyFill="1" applyBorder="1" applyAlignment="1" applyProtection="1">
      <alignment vertical="center"/>
      <protection locked="0"/>
    </xf>
    <xf numFmtId="10" fontId="3" fillId="2" borderId="10" xfId="3" applyNumberFormat="1" applyFont="1" applyFill="1" applyBorder="1" applyAlignment="1" applyProtection="1">
      <alignment vertical="center"/>
      <protection locked="0"/>
    </xf>
    <xf numFmtId="10" fontId="3" fillId="0" borderId="10" xfId="0" applyNumberFormat="1" applyFont="1" applyFill="1" applyBorder="1" applyAlignment="1" applyProtection="1">
      <alignment vertical="center"/>
    </xf>
    <xf numFmtId="10" fontId="3" fillId="0" borderId="8" xfId="0" applyNumberFormat="1" applyFont="1" applyFill="1" applyBorder="1" applyAlignment="1" applyProtection="1">
      <alignment vertical="center"/>
    </xf>
    <xf numFmtId="10" fontId="3" fillId="2" borderId="7" xfId="0" applyNumberFormat="1" applyFont="1" applyFill="1" applyBorder="1" applyAlignment="1" applyProtection="1">
      <alignment vertical="center"/>
      <protection locked="0"/>
    </xf>
    <xf numFmtId="0" fontId="3" fillId="0" borderId="7" xfId="0" applyFont="1" applyBorder="1" applyAlignment="1" applyProtection="1">
      <alignment vertical="center" wrapText="1"/>
    </xf>
    <xf numFmtId="3" fontId="0" fillId="0" borderId="10" xfId="0" applyNumberFormat="1" applyBorder="1" applyProtection="1"/>
    <xf numFmtId="0" fontId="3" fillId="0" borderId="7" xfId="0" applyFont="1" applyFill="1" applyBorder="1" applyProtection="1"/>
    <xf numFmtId="10" fontId="2" fillId="0" borderId="7" xfId="3" applyNumberFormat="1" applyFont="1" applyBorder="1" applyProtection="1"/>
  </cellXfs>
  <cellStyles count="4">
    <cellStyle name="Comma" xfId="1" builtinId="3"/>
    <cellStyle name="Normal" xfId="0" builtinId="0"/>
    <cellStyle name="Normal 2" xfId="2" xr:uid="{00000000-0005-0000-0000-000002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FFFF99"/>
  </sheetPr>
  <dimension ref="A1:S24"/>
  <sheetViews>
    <sheetView showGridLines="0" tabSelected="1" zoomScaleNormal="100" workbookViewId="0"/>
  </sheetViews>
  <sheetFormatPr defaultRowHeight="15" x14ac:dyDescent="0.25"/>
  <cols>
    <col min="1" max="1" width="1.5703125" style="21" customWidth="1"/>
    <col min="2" max="2" width="36.5703125" style="21" customWidth="1"/>
    <col min="3" max="17" width="10.42578125" style="21" customWidth="1"/>
    <col min="18" max="18" width="1.5703125" style="21" customWidth="1"/>
    <col min="19" max="19" width="10.42578125" style="21" customWidth="1"/>
    <col min="20" max="16384" width="9.140625" style="21"/>
  </cols>
  <sheetData>
    <row r="1" spans="1:19" s="19" customFormat="1" ht="21" x14ac:dyDescent="0.35">
      <c r="A1" s="18" t="s">
        <v>15</v>
      </c>
      <c r="G1" s="20"/>
    </row>
    <row r="3" spans="1:19" x14ac:dyDescent="0.25">
      <c r="B3" s="22" t="s">
        <v>19</v>
      </c>
      <c r="C3" s="23"/>
      <c r="D3" s="23"/>
      <c r="E3" s="23"/>
      <c r="F3" s="23"/>
      <c r="G3" s="23"/>
      <c r="H3" s="24"/>
      <c r="I3" s="23"/>
      <c r="J3" s="24"/>
      <c r="K3" s="23"/>
    </row>
    <row r="4" spans="1:19" x14ac:dyDescent="0.25">
      <c r="B4" s="23"/>
      <c r="C4" s="23"/>
      <c r="D4" s="23"/>
      <c r="E4" s="23"/>
      <c r="F4" s="23"/>
      <c r="G4" s="23"/>
      <c r="H4" s="24"/>
      <c r="I4" s="23"/>
      <c r="J4" s="24"/>
      <c r="K4" s="23"/>
    </row>
    <row r="5" spans="1:19" s="25" customFormat="1" x14ac:dyDescent="0.25">
      <c r="B5" s="26"/>
      <c r="C5" s="27" t="s">
        <v>5</v>
      </c>
      <c r="D5" s="28"/>
      <c r="E5" s="28"/>
      <c r="F5" s="28"/>
      <c r="G5" s="28"/>
      <c r="H5" s="27" t="s">
        <v>6</v>
      </c>
      <c r="I5" s="28"/>
      <c r="J5" s="29"/>
      <c r="K5" s="28"/>
      <c r="L5" s="30"/>
      <c r="M5" s="31" t="s">
        <v>7</v>
      </c>
      <c r="N5" s="32"/>
      <c r="O5" s="32"/>
      <c r="P5" s="32"/>
      <c r="Q5" s="30"/>
    </row>
    <row r="6" spans="1:19" s="25" customFormat="1" x14ac:dyDescent="0.25">
      <c r="B6" s="33"/>
      <c r="C6" s="34" t="s">
        <v>0</v>
      </c>
      <c r="D6" s="35" t="s">
        <v>1</v>
      </c>
      <c r="E6" s="35" t="s">
        <v>2</v>
      </c>
      <c r="F6" s="36" t="s">
        <v>3</v>
      </c>
      <c r="G6" s="37" t="s">
        <v>8</v>
      </c>
      <c r="H6" s="38" t="s">
        <v>0</v>
      </c>
      <c r="I6" s="39" t="s">
        <v>1</v>
      </c>
      <c r="J6" s="39" t="s">
        <v>2</v>
      </c>
      <c r="K6" s="40" t="s">
        <v>3</v>
      </c>
      <c r="L6" s="37" t="s">
        <v>8</v>
      </c>
      <c r="M6" s="34" t="s">
        <v>0</v>
      </c>
      <c r="N6" s="35" t="s">
        <v>1</v>
      </c>
      <c r="O6" s="35" t="s">
        <v>2</v>
      </c>
      <c r="P6" s="36" t="s">
        <v>3</v>
      </c>
      <c r="Q6" s="41" t="s">
        <v>8</v>
      </c>
      <c r="S6" s="42" t="s">
        <v>30</v>
      </c>
    </row>
    <row r="7" spans="1:19" s="25" customFormat="1" ht="15" customHeight="1" x14ac:dyDescent="0.25">
      <c r="B7" s="131" t="str">
        <f t="array" ref="B7">L_ContractTypes</f>
        <v>RMW Access Letters Contract 2022</v>
      </c>
      <c r="C7" s="132">
        <v>0.44403100000000001</v>
      </c>
      <c r="D7" s="133">
        <v>0.35950100000000001</v>
      </c>
      <c r="E7" s="133">
        <v>0.196469</v>
      </c>
      <c r="F7" s="134">
        <v>0</v>
      </c>
      <c r="G7" s="135">
        <f>SUM(C7:F7)</f>
        <v>1.0000010000000001</v>
      </c>
      <c r="H7" s="132">
        <v>0.382104</v>
      </c>
      <c r="I7" s="133">
        <v>0.357016</v>
      </c>
      <c r="J7" s="133">
        <v>0.26088</v>
      </c>
      <c r="K7" s="134">
        <v>0</v>
      </c>
      <c r="L7" s="136">
        <f>SUM(H7:K7)</f>
        <v>1</v>
      </c>
      <c r="M7" s="132">
        <v>0.21112900000000001</v>
      </c>
      <c r="N7" s="133">
        <v>0.321548</v>
      </c>
      <c r="O7" s="133">
        <v>0.46732299999999999</v>
      </c>
      <c r="P7" s="134">
        <v>0</v>
      </c>
      <c r="Q7" s="135">
        <f>SUM(M7:P7)</f>
        <v>1</v>
      </c>
      <c r="S7" s="137">
        <v>4.4999999999999998E-2</v>
      </c>
    </row>
    <row r="8" spans="1:19" x14ac:dyDescent="0.25">
      <c r="B8" s="33"/>
      <c r="C8" s="43"/>
      <c r="D8" s="43"/>
      <c r="E8" s="43"/>
      <c r="F8" s="43"/>
      <c r="G8" s="23"/>
      <c r="H8" s="23"/>
      <c r="I8" s="23"/>
      <c r="J8" s="23"/>
      <c r="K8" s="23"/>
    </row>
    <row r="9" spans="1:19" x14ac:dyDescent="0.25">
      <c r="B9" s="33"/>
      <c r="C9" s="43"/>
      <c r="D9" s="43"/>
      <c r="E9" s="43"/>
      <c r="F9" s="43"/>
      <c r="G9" s="23"/>
      <c r="H9" s="44" t="s">
        <v>43</v>
      </c>
      <c r="J9" s="23"/>
      <c r="K9" s="23"/>
    </row>
    <row r="10" spans="1:19" ht="6" customHeight="1" x14ac:dyDescent="0.25">
      <c r="B10" s="33"/>
      <c r="C10" s="43"/>
      <c r="D10" s="43"/>
      <c r="E10" s="43"/>
      <c r="F10" s="43"/>
      <c r="G10" s="23"/>
      <c r="H10" s="44"/>
      <c r="J10" s="23"/>
      <c r="K10" s="23"/>
    </row>
    <row r="11" spans="1:19" x14ac:dyDescent="0.25">
      <c r="B11" s="45" t="s">
        <v>20</v>
      </c>
      <c r="C11" s="23"/>
      <c r="D11" s="23"/>
      <c r="E11" s="23"/>
      <c r="F11" s="23"/>
      <c r="G11" s="23"/>
      <c r="H11" s="23"/>
      <c r="J11" s="24"/>
      <c r="K11" s="44"/>
    </row>
    <row r="12" spans="1:19" ht="6" customHeight="1" x14ac:dyDescent="0.25">
      <c r="B12" s="23"/>
      <c r="C12" s="23"/>
      <c r="D12" s="23"/>
      <c r="E12" s="23"/>
      <c r="F12" s="23"/>
      <c r="G12" s="23"/>
      <c r="H12" s="23"/>
      <c r="J12" s="24"/>
      <c r="K12" s="44"/>
    </row>
    <row r="13" spans="1:19" x14ac:dyDescent="0.25">
      <c r="B13" s="45"/>
      <c r="C13" s="46" t="s">
        <v>0</v>
      </c>
      <c r="D13" s="47" t="s">
        <v>1</v>
      </c>
      <c r="E13" s="47" t="s">
        <v>2</v>
      </c>
      <c r="F13" s="48" t="s">
        <v>3</v>
      </c>
      <c r="G13" s="23"/>
      <c r="H13" s="23"/>
      <c r="J13" s="24"/>
      <c r="K13" s="44"/>
    </row>
    <row r="14" spans="1:19" x14ac:dyDescent="0.25">
      <c r="B14" s="49" t="s">
        <v>21</v>
      </c>
      <c r="C14" s="5">
        <v>-7.4706633979044534E-2</v>
      </c>
      <c r="D14" s="1">
        <v>-1.023675897904454E-2</v>
      </c>
      <c r="E14" s="1">
        <v>0.11955686602095546</v>
      </c>
      <c r="F14" s="2">
        <v>5.2052616020955456E-2</v>
      </c>
      <c r="G14" s="67"/>
      <c r="H14" s="50" t="s">
        <v>46</v>
      </c>
      <c r="J14" s="50"/>
    </row>
    <row r="15" spans="1:19" x14ac:dyDescent="0.25">
      <c r="B15" s="53" t="s">
        <v>22</v>
      </c>
      <c r="C15" s="6">
        <v>-7.7557405965998361E-2</v>
      </c>
      <c r="D15" s="3">
        <v>-2.8469155965998343E-2</v>
      </c>
      <c r="E15" s="3">
        <v>0.12980571903400165</v>
      </c>
      <c r="F15" s="4">
        <v>8.525709403400164E-2</v>
      </c>
      <c r="G15" s="67"/>
      <c r="H15" s="52"/>
      <c r="J15" s="50"/>
    </row>
    <row r="16" spans="1:19" x14ac:dyDescent="0.25">
      <c r="B16" s="23"/>
      <c r="C16" s="23"/>
      <c r="D16" s="23"/>
      <c r="E16" s="23"/>
      <c r="F16" s="23"/>
      <c r="G16" s="23"/>
      <c r="H16" s="24"/>
      <c r="J16" s="23"/>
    </row>
    <row r="17" spans="2:10" x14ac:dyDescent="0.25">
      <c r="B17" s="22" t="s">
        <v>23</v>
      </c>
      <c r="C17" s="23"/>
      <c r="D17" s="23"/>
      <c r="E17" s="23"/>
      <c r="F17" s="23"/>
      <c r="G17" s="23"/>
      <c r="H17" s="23"/>
      <c r="J17" s="24"/>
    </row>
    <row r="18" spans="2:10" ht="6" customHeight="1" x14ac:dyDescent="0.25">
      <c r="B18" s="23"/>
      <c r="C18" s="23"/>
      <c r="D18" s="23"/>
      <c r="E18" s="23"/>
      <c r="F18" s="23"/>
      <c r="G18" s="23"/>
      <c r="H18" s="23"/>
      <c r="J18" s="24"/>
    </row>
    <row r="19" spans="2:10" x14ac:dyDescent="0.25">
      <c r="B19" s="23"/>
      <c r="C19" s="46" t="s">
        <v>0</v>
      </c>
      <c r="D19" s="47" t="s">
        <v>1</v>
      </c>
      <c r="E19" s="47" t="s">
        <v>2</v>
      </c>
      <c r="F19" s="48" t="s">
        <v>3</v>
      </c>
      <c r="G19" s="23"/>
      <c r="H19" s="24"/>
      <c r="J19" s="23"/>
    </row>
    <row r="20" spans="2:10" ht="15" customHeight="1" x14ac:dyDescent="0.25">
      <c r="B20" s="138" t="str">
        <f t="array" ref="B20">L_ContractTypes</f>
        <v>RMW Access Letters Contract 2022</v>
      </c>
      <c r="C20" s="6">
        <v>-7.5177999999999995E-2</v>
      </c>
      <c r="D20" s="3">
        <v>-1.3254E-2</v>
      </c>
      <c r="E20" s="3">
        <v>0.121253</v>
      </c>
      <c r="F20" s="4">
        <v>5.7548000000000002E-2</v>
      </c>
      <c r="G20" s="67"/>
      <c r="H20" s="50" t="s">
        <v>38</v>
      </c>
      <c r="J20" s="50"/>
    </row>
    <row r="21" spans="2:10" x14ac:dyDescent="0.25">
      <c r="D21" s="25"/>
      <c r="E21" s="25"/>
      <c r="F21" s="25"/>
      <c r="G21" s="25"/>
    </row>
    <row r="22" spans="2:10" x14ac:dyDescent="0.25">
      <c r="C22" s="127"/>
      <c r="D22" s="127"/>
      <c r="E22" s="127"/>
      <c r="F22" s="127"/>
      <c r="G22" s="25"/>
    </row>
    <row r="23" spans="2:10" x14ac:dyDescent="0.25">
      <c r="C23" s="127"/>
      <c r="D23" s="127"/>
      <c r="E23" s="127"/>
      <c r="F23" s="127"/>
      <c r="G23" s="25"/>
    </row>
    <row r="24" spans="2:10" x14ac:dyDescent="0.25">
      <c r="D24" s="25"/>
      <c r="E24" s="25"/>
      <c r="F24" s="25"/>
      <c r="G24" s="25"/>
    </row>
  </sheetData>
  <sheetProtection sheet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FFFF99"/>
  </sheetPr>
  <dimension ref="A1:U39"/>
  <sheetViews>
    <sheetView showGridLines="0" zoomScale="80" zoomScaleNormal="80" workbookViewId="0"/>
  </sheetViews>
  <sheetFormatPr defaultRowHeight="15" outlineLevelRow="1" x14ac:dyDescent="0.25"/>
  <cols>
    <col min="1" max="1" width="2.5703125" style="21" customWidth="1"/>
    <col min="2" max="2" width="36.42578125" style="21" customWidth="1"/>
    <col min="3" max="7" width="13" style="21" customWidth="1"/>
    <col min="8" max="8" width="2.85546875" style="21" customWidth="1"/>
    <col min="9" max="13" width="13" style="21" customWidth="1"/>
    <col min="14" max="14" width="2.85546875" style="21" customWidth="1"/>
    <col min="15" max="19" width="13" style="21" customWidth="1"/>
    <col min="20" max="20" width="2.85546875" style="21" customWidth="1"/>
    <col min="21" max="21" width="11.42578125" style="21" bestFit="1" customWidth="1"/>
    <col min="22" max="16384" width="9.140625" style="21"/>
  </cols>
  <sheetData>
    <row r="1" spans="1:21" s="19" customFormat="1" ht="21" x14ac:dyDescent="0.35">
      <c r="A1" s="18" t="s">
        <v>44</v>
      </c>
    </row>
    <row r="2" spans="1:21" s="23" customFormat="1" x14ac:dyDescent="0.25"/>
    <row r="3" spans="1:21" s="23" customFormat="1" x14ac:dyDescent="0.25"/>
    <row r="4" spans="1:21" s="50" customFormat="1" ht="15" customHeight="1" x14ac:dyDescent="0.25">
      <c r="B4" s="105" t="s">
        <v>35</v>
      </c>
      <c r="D4" s="54"/>
    </row>
    <row r="5" spans="1:21" s="50" customFormat="1" ht="45" x14ac:dyDescent="0.25">
      <c r="B5" s="44"/>
      <c r="C5" s="120" t="s">
        <v>5</v>
      </c>
      <c r="D5" s="121" t="s">
        <v>6</v>
      </c>
      <c r="E5" s="121" t="s">
        <v>7</v>
      </c>
      <c r="F5" s="122" t="s">
        <v>13</v>
      </c>
      <c r="G5" s="126" t="s">
        <v>33</v>
      </c>
      <c r="I5" s="55"/>
    </row>
    <row r="6" spans="1:21" s="50" customFormat="1" ht="15" customHeight="1" x14ac:dyDescent="0.25">
      <c r="B6" s="118" t="s">
        <v>12</v>
      </c>
      <c r="C6" s="110">
        <v>250000</v>
      </c>
      <c r="D6" s="117">
        <v>250000</v>
      </c>
      <c r="E6" s="117">
        <v>250000</v>
      </c>
      <c r="F6" s="123">
        <v>250000</v>
      </c>
      <c r="G6" s="128">
        <f>SUM(C6:F6)</f>
        <v>1000000</v>
      </c>
      <c r="I6" s="50" t="s">
        <v>36</v>
      </c>
    </row>
    <row r="7" spans="1:21" s="50" customFormat="1" ht="15" customHeight="1" x14ac:dyDescent="0.25">
      <c r="B7" s="119" t="s">
        <v>34</v>
      </c>
      <c r="C7" s="124">
        <v>100000</v>
      </c>
      <c r="D7" s="125">
        <v>100000</v>
      </c>
      <c r="E7" s="125">
        <v>100000</v>
      </c>
      <c r="F7" s="111">
        <v>100000</v>
      </c>
      <c r="G7" s="129">
        <f>SUM(C7:F7)</f>
        <v>400000</v>
      </c>
      <c r="I7" s="50" t="s">
        <v>37</v>
      </c>
    </row>
    <row r="8" spans="1:21" s="50" customFormat="1" ht="15" customHeight="1" x14ac:dyDescent="0.25"/>
    <row r="9" spans="1:21" s="50" customFormat="1" ht="15" customHeight="1" x14ac:dyDescent="0.25">
      <c r="B9" s="105" t="s">
        <v>32</v>
      </c>
      <c r="D9" s="54"/>
    </row>
    <row r="10" spans="1:21" s="23" customFormat="1" x14ac:dyDescent="0.25">
      <c r="B10" s="58"/>
      <c r="C10" s="63" t="s">
        <v>5</v>
      </c>
      <c r="G10" s="62"/>
      <c r="I10" s="63" t="s">
        <v>6</v>
      </c>
      <c r="J10" s="64"/>
      <c r="K10" s="64"/>
      <c r="L10" s="64"/>
      <c r="N10" s="62"/>
      <c r="U10" s="62"/>
    </row>
    <row r="11" spans="1:21" s="50" customFormat="1" x14ac:dyDescent="0.25">
      <c r="C11" s="46" t="s">
        <v>0</v>
      </c>
      <c r="D11" s="47" t="s">
        <v>1</v>
      </c>
      <c r="E11" s="47" t="s">
        <v>2</v>
      </c>
      <c r="F11" s="47" t="s">
        <v>3</v>
      </c>
      <c r="G11" s="42" t="s">
        <v>8</v>
      </c>
      <c r="I11" s="46" t="s">
        <v>0</v>
      </c>
      <c r="J11" s="47" t="s">
        <v>1</v>
      </c>
      <c r="K11" s="47" t="s">
        <v>2</v>
      </c>
      <c r="L11" s="47" t="s">
        <v>3</v>
      </c>
      <c r="M11" s="42" t="s">
        <v>8</v>
      </c>
    </row>
    <row r="12" spans="1:21" s="50" customFormat="1" x14ac:dyDescent="0.25">
      <c r="B12" s="49" t="s">
        <v>14</v>
      </c>
      <c r="C12" s="96">
        <v>0.45</v>
      </c>
      <c r="D12" s="97">
        <v>0.35</v>
      </c>
      <c r="E12" s="97">
        <v>0.2</v>
      </c>
      <c r="F12" s="66">
        <v>0</v>
      </c>
      <c r="G12" s="56">
        <f>SUM(C12:F12)</f>
        <v>1</v>
      </c>
      <c r="H12" s="67"/>
      <c r="I12" s="96">
        <v>0.4</v>
      </c>
      <c r="J12" s="97">
        <v>0.35</v>
      </c>
      <c r="K12" s="97">
        <v>0.25</v>
      </c>
      <c r="L12" s="66">
        <v>0</v>
      </c>
      <c r="M12" s="56">
        <f>SUM(I12:L12)</f>
        <v>1</v>
      </c>
    </row>
    <row r="13" spans="1:21" s="50" customFormat="1" x14ac:dyDescent="0.25">
      <c r="B13" s="51" t="s">
        <v>31</v>
      </c>
      <c r="C13" s="114"/>
      <c r="D13" s="109"/>
      <c r="E13" s="109"/>
      <c r="F13" s="103"/>
      <c r="G13" s="112">
        <f>C6</f>
        <v>250000</v>
      </c>
      <c r="H13" s="67"/>
      <c r="I13" s="114"/>
      <c r="J13" s="109"/>
      <c r="K13" s="109"/>
      <c r="L13" s="103"/>
      <c r="M13" s="112">
        <f>D6</f>
        <v>250000</v>
      </c>
      <c r="N13" s="67"/>
    </row>
    <row r="14" spans="1:21" s="50" customFormat="1" x14ac:dyDescent="0.25">
      <c r="B14" s="51" t="s">
        <v>17</v>
      </c>
      <c r="C14" s="114"/>
      <c r="D14" s="109"/>
      <c r="E14" s="109"/>
      <c r="F14" s="103"/>
      <c r="G14" s="113">
        <f>C7</f>
        <v>100000</v>
      </c>
      <c r="H14" s="67"/>
      <c r="I14" s="114"/>
      <c r="J14" s="109"/>
      <c r="K14" s="109"/>
      <c r="L14" s="103"/>
      <c r="M14" s="113">
        <f>D7</f>
        <v>100000</v>
      </c>
      <c r="N14" s="67"/>
    </row>
    <row r="15" spans="1:21" s="50" customFormat="1" x14ac:dyDescent="0.25">
      <c r="B15" s="53" t="s">
        <v>18</v>
      </c>
      <c r="C15" s="115"/>
      <c r="D15" s="116"/>
      <c r="E15" s="116"/>
      <c r="F15" s="104"/>
      <c r="G15" s="72">
        <f>IF(G13=0,0,G14/G13*100)</f>
        <v>40</v>
      </c>
      <c r="H15" s="67"/>
      <c r="I15" s="115"/>
      <c r="J15" s="116"/>
      <c r="K15" s="116"/>
      <c r="L15" s="104"/>
      <c r="M15" s="72">
        <f>IF(M13=0,0,M14/M13*100)</f>
        <v>40</v>
      </c>
      <c r="N15" s="67"/>
    </row>
    <row r="16" spans="1:21" s="23" customFormat="1" x14ac:dyDescent="0.25">
      <c r="B16" s="51" t="s">
        <v>16</v>
      </c>
      <c r="C16" s="68">
        <f ca="1">OFFSET(St_EWProfile,S_ContractType,0)</f>
        <v>0.44403100000000001</v>
      </c>
      <c r="D16" s="60">
        <f ca="1">OFFSET(St_EWProfile,S_ContractType,1)</f>
        <v>0.35950100000000001</v>
      </c>
      <c r="E16" s="60">
        <f ca="1">OFFSET(St_EWProfile,S_ContractType,2)</f>
        <v>0.196469</v>
      </c>
      <c r="F16" s="61">
        <f ca="1">OFFSET(St_EWProfile,S_ContractType,3)</f>
        <v>0</v>
      </c>
      <c r="G16" s="69">
        <f ca="1">SUM(C16:F16)</f>
        <v>1.0000010000000001</v>
      </c>
      <c r="I16" s="68">
        <f ca="1">OFFSET(St_SProfile,S_ContractType,0)</f>
        <v>0.382104</v>
      </c>
      <c r="J16" s="60">
        <f ca="1">OFFSET(St_SProfile,S_ContractType,1)</f>
        <v>0.357016</v>
      </c>
      <c r="K16" s="60">
        <f ca="1">OFFSET(St_SProfile,S_ContractType,2)</f>
        <v>0.26088</v>
      </c>
      <c r="L16" s="61">
        <f ca="1">OFFSET(St_SProfile,S_ContractType,3)</f>
        <v>0</v>
      </c>
      <c r="M16" s="70">
        <f ca="1">SUM(I16:L16)</f>
        <v>1</v>
      </c>
    </row>
    <row r="17" spans="2:21" s="50" customFormat="1" x14ac:dyDescent="0.25">
      <c r="B17" s="53" t="s">
        <v>4</v>
      </c>
      <c r="C17" s="106">
        <f ca="1">OFFSET(St_WAPVP,S_ContractType,1)</f>
        <v>-7.5177999999999995E-2</v>
      </c>
      <c r="D17" s="76">
        <f ca="1">OFFSET(St_WAPVP,S_ContractType,2)</f>
        <v>-1.3254E-2</v>
      </c>
      <c r="E17" s="76">
        <f ca="1">OFFSET(St_WAPVP,S_ContractType,3)</f>
        <v>0.121253</v>
      </c>
      <c r="F17" s="107">
        <f ca="1">OFFSET(St_WAPVP,S_ContractType,4)</f>
        <v>5.7548000000000002E-2</v>
      </c>
      <c r="G17" s="108"/>
      <c r="I17" s="106">
        <f ca="1">OFFSET(St_WAPVP,S_ContractType,1)</f>
        <v>-7.5177999999999995E-2</v>
      </c>
      <c r="J17" s="76">
        <f ca="1">OFFSET(St_WAPVP,S_ContractType,2)</f>
        <v>-1.3254E-2</v>
      </c>
      <c r="K17" s="76">
        <f ca="1">OFFSET(St_WAPVP,S_ContractType,3)</f>
        <v>0.121253</v>
      </c>
      <c r="L17" s="107">
        <f ca="1">OFFSET(St_WAPVP,S_ContractType,4)</f>
        <v>5.7548000000000002E-2</v>
      </c>
      <c r="M17" s="71"/>
      <c r="O17" s="50" t="str">
        <f ca="1">OFFSET(St_ContractTypes,S_ContractType,1)</f>
        <v>Weighted average for letters and large letters formats</v>
      </c>
    </row>
    <row r="18" spans="2:21" s="23" customFormat="1" hidden="1" outlineLevel="1" x14ac:dyDescent="0.25">
      <c r="B18" s="57" t="s">
        <v>9</v>
      </c>
      <c r="C18" s="59">
        <f ca="1">C16*(1-OFFSET(St_Threshold,S_ContractType,0))</f>
        <v>0.424049605</v>
      </c>
      <c r="D18" s="60">
        <f ca="1">D16*(1-OFFSET(St_Threshold,S_ContractType,0))</f>
        <v>0.343323455</v>
      </c>
      <c r="E18" s="60">
        <f ca="1">E16*(1-OFFSET(St_Threshold,S_ContractType,0))</f>
        <v>0.18762789499999999</v>
      </c>
      <c r="F18" s="60">
        <f ca="1">F16*(1-OFFSET(St_Threshold,S_ContractType,0))</f>
        <v>0</v>
      </c>
      <c r="G18" s="69"/>
      <c r="H18" s="58"/>
      <c r="I18" s="59">
        <f ca="1">I16*(1-OFFSET(St_Threshold,S_ContractType,0))</f>
        <v>0.36490931999999998</v>
      </c>
      <c r="J18" s="60">
        <f ca="1">J16*(1-OFFSET(St_Threshold,S_ContractType,0))</f>
        <v>0.34095027999999999</v>
      </c>
      <c r="K18" s="60">
        <f ca="1">K16*(1-OFFSET(St_Threshold,S_ContractType,0))</f>
        <v>0.24914039999999998</v>
      </c>
      <c r="L18" s="60">
        <f ca="1">L16*(1-OFFSET(St_Threshold,S_ContractType,0))</f>
        <v>0</v>
      </c>
      <c r="M18" s="73"/>
    </row>
    <row r="19" spans="2:21" s="23" customFormat="1" hidden="1" outlineLevel="1" x14ac:dyDescent="0.25">
      <c r="B19" s="74" t="s">
        <v>10</v>
      </c>
      <c r="C19" s="75">
        <f ca="1">C16*(1+OFFSET(St_Threshold,S_ContractType,0))</f>
        <v>0.46401239499999997</v>
      </c>
      <c r="D19" s="76">
        <f ca="1">D16*(1+OFFSET(St_Threshold,S_ContractType,0))</f>
        <v>0.37567854499999997</v>
      </c>
      <c r="E19" s="76">
        <f ca="1">E16*(1+OFFSET(St_Threshold,S_ContractType,0))</f>
        <v>0.20531010499999999</v>
      </c>
      <c r="F19" s="76">
        <f ca="1">F16*(1+OFFSET(St_Threshold,S_ContractType,0))</f>
        <v>0</v>
      </c>
      <c r="G19" s="77"/>
      <c r="I19" s="75">
        <f ca="1">I16*(1+OFFSET(St_Threshold,S_ContractType,0))</f>
        <v>0.39929867999999996</v>
      </c>
      <c r="J19" s="76">
        <f ca="1">J16*(1+OFFSET(St_Threshold,S_ContractType,0))</f>
        <v>0.37308171999999995</v>
      </c>
      <c r="K19" s="76">
        <f ca="1">K16*(1+OFFSET(St_Threshold,S_ContractType,0))</f>
        <v>0.27261959999999996</v>
      </c>
      <c r="L19" s="76">
        <f ca="1">L16*(1+OFFSET(St_Threshold,S_ContractType,0))</f>
        <v>0</v>
      </c>
      <c r="M19" s="77"/>
    </row>
    <row r="20" spans="2:21" s="23" customFormat="1" collapsed="1" x14ac:dyDescent="0.25">
      <c r="B20" s="78" t="s">
        <v>11</v>
      </c>
      <c r="C20" s="79">
        <f ca="1">IF(SUM($C$12:$E$12)=0,0,IF(C12&lt;C18,C12-C18,IF(C12&gt;C19,C12-C19,0)))</f>
        <v>0</v>
      </c>
      <c r="D20" s="79">
        <f ca="1">IF(SUM($C$12:$E$12)=0,0,IF(D12&lt;D18,D12-D18,IF(D12&gt;D19,D12-D19,0)))</f>
        <v>0</v>
      </c>
      <c r="E20" s="79">
        <f ca="1">IF(SUM($C$12:$E$12)=0,0,IF(E12&lt;E18,E12-E18,IF(E12&gt;E19,E12-E19,0)))</f>
        <v>0</v>
      </c>
      <c r="F20" s="79">
        <f ca="1">IF(F12&lt;F18,F12-F18,IF(F12&gt;F19,F12-F19,0))</f>
        <v>0</v>
      </c>
      <c r="G20" s="73"/>
      <c r="I20" s="80">
        <f ca="1">IF(SUM($I$12:$K$12)=0,0,IF(I12&lt;I18,I12-I18,IF(I12&gt;I19,I12-I19,0)))</f>
        <v>7.0132000000006078E-4</v>
      </c>
      <c r="J20" s="79">
        <f ca="1">IF(SUM($I$12:$K$12)=0,0,IF(J12&lt;J18,J12-J18,IF(J12&gt;J19,J12-J19,0)))</f>
        <v>0</v>
      </c>
      <c r="K20" s="79">
        <f ca="1">IF(SUM($I$12:$K$12)=0,0,IF(K12&lt;K18,K12-K18,IF(K12&gt;K19,K12-K19,0)))</f>
        <v>0</v>
      </c>
      <c r="L20" s="79">
        <f ca="1">IF(L12&lt;L18,L12-L18,IF(L12&gt;L19,L12-L19,0))</f>
        <v>0</v>
      </c>
      <c r="M20" s="73"/>
    </row>
    <row r="21" spans="2:21" s="23" customFormat="1" x14ac:dyDescent="0.25">
      <c r="B21" s="81" t="s">
        <v>41</v>
      </c>
      <c r="C21" s="82">
        <f ca="1">IF(AND(C17&lt;0,C20&lt;0),0,IF(C17&lt;0,C20*$G$13*-1,C20*$G$13))</f>
        <v>0</v>
      </c>
      <c r="D21" s="82">
        <f ca="1">IF(AND(D17&lt;0,D20&lt;0),0,IF(D17&lt;0,D20*$G$13*-1,D20*$G$13))</f>
        <v>0</v>
      </c>
      <c r="E21" s="82">
        <f ca="1">IF(AND(E17&lt;0,E20&lt;0),0,IF(E17&lt;0,E20*$G$13*-1,E20*$G$13))</f>
        <v>0</v>
      </c>
      <c r="F21" s="82">
        <f ca="1">IF(AND(F17&lt;0,F20&lt;0),0,IF(F17&lt;0,F20*$G$13*-1,F20*$G$13))</f>
        <v>0</v>
      </c>
      <c r="G21" s="83">
        <f ca="1">SUM(C21:F21)</f>
        <v>0</v>
      </c>
      <c r="I21" s="84">
        <f ca="1">IF(AND(I17&lt;0,I20&lt;0),0,IF(I17&lt;0,I20*$M$13*-1,I20*$M$13))</f>
        <v>-175.33000000001519</v>
      </c>
      <c r="J21" s="82">
        <f ca="1">IF(AND(J17&lt;0,J20&lt;0),0,IF(J17&lt;0,J20*$M$13*-1,J20*$M$13))</f>
        <v>0</v>
      </c>
      <c r="K21" s="82">
        <f ca="1">IF(AND(K17&lt;0,K20&lt;0),0,IF(K17&lt;0,K20*$M$13*-1,K20*$M$13))</f>
        <v>0</v>
      </c>
      <c r="L21" s="82">
        <f ca="1">IF(AND(L17&lt;0,L20&lt;0),0,IF(L17&lt;0,L20*$M$13*-1,L20*$M$13))</f>
        <v>0</v>
      </c>
      <c r="M21" s="83">
        <f ca="1">SUM(I21:L21)</f>
        <v>-175.33000000001519</v>
      </c>
    </row>
    <row r="22" spans="2:21" s="23" customFormat="1" x14ac:dyDescent="0.25">
      <c r="B22" s="85" t="s">
        <v>39</v>
      </c>
      <c r="C22" s="86">
        <f ca="1">$G$15*ABS(C17)/100*C21</f>
        <v>0</v>
      </c>
      <c r="D22" s="86">
        <f ca="1">$G$15*ABS(D17)/100*D21</f>
        <v>0</v>
      </c>
      <c r="E22" s="86">
        <f ca="1">$G$15*ABS(E17)/100*E21</f>
        <v>0</v>
      </c>
      <c r="F22" s="86">
        <f ca="1">$G$15*ABS(F17)/100*F21</f>
        <v>0</v>
      </c>
      <c r="G22" s="87">
        <f ca="1">IF(SUM(C22:F22)&lt;0,0,SUM(C22:F22))</f>
        <v>0</v>
      </c>
      <c r="I22" s="88">
        <f ca="1">$M$15*ABS(I17)/100*I21</f>
        <v>-5.2723834960004563</v>
      </c>
      <c r="J22" s="86">
        <f ca="1">$M$15*ABS(J17)/100*J21</f>
        <v>0</v>
      </c>
      <c r="K22" s="86">
        <f ca="1">$M$15*ABS(K17)/100*K21</f>
        <v>0</v>
      </c>
      <c r="L22" s="86">
        <f ca="1">$M$15*ABS(L17)/100*L21</f>
        <v>0</v>
      </c>
      <c r="M22" s="87">
        <f ca="1">IF(SUM(I22:L22)&lt;0,0,SUM(I22:L22))</f>
        <v>0</v>
      </c>
    </row>
    <row r="23" spans="2:21" s="99" customFormat="1" x14ac:dyDescent="0.25">
      <c r="B23" s="100"/>
      <c r="C23" s="101"/>
      <c r="D23" s="101"/>
      <c r="E23" s="101"/>
      <c r="F23" s="101"/>
      <c r="G23" s="102"/>
      <c r="I23" s="101"/>
      <c r="J23" s="101"/>
      <c r="K23" s="101"/>
      <c r="L23" s="101"/>
      <c r="M23" s="102"/>
      <c r="O23" s="101"/>
      <c r="P23" s="101"/>
      <c r="Q23" s="101"/>
      <c r="R23" s="101"/>
      <c r="S23" s="102"/>
    </row>
    <row r="24" spans="2:21" s="23" customFormat="1" x14ac:dyDescent="0.25">
      <c r="C24" s="63" t="s">
        <v>7</v>
      </c>
      <c r="E24" s="65"/>
      <c r="F24" s="65"/>
      <c r="G24" s="65"/>
      <c r="I24" s="92"/>
      <c r="J24" s="58"/>
      <c r="K24" s="58"/>
      <c r="L24" s="58"/>
      <c r="M24" s="89"/>
      <c r="N24" s="93"/>
      <c r="O24" s="58"/>
      <c r="P24" s="92"/>
      <c r="Q24" s="58"/>
      <c r="R24" s="58"/>
      <c r="S24" s="89"/>
      <c r="U24" s="90"/>
    </row>
    <row r="25" spans="2:21" s="23" customFormat="1" x14ac:dyDescent="0.25">
      <c r="B25" s="94"/>
      <c r="C25" s="46" t="s">
        <v>0</v>
      </c>
      <c r="D25" s="47" t="s">
        <v>1</v>
      </c>
      <c r="E25" s="47" t="s">
        <v>2</v>
      </c>
      <c r="F25" s="47" t="s">
        <v>3</v>
      </c>
      <c r="G25" s="42" t="s">
        <v>8</v>
      </c>
      <c r="M25" s="98"/>
      <c r="S25" s="98"/>
      <c r="U25" s="98"/>
    </row>
    <row r="26" spans="2:21" s="23" customFormat="1" x14ac:dyDescent="0.25">
      <c r="B26" s="49" t="s">
        <v>14</v>
      </c>
      <c r="C26" s="96">
        <v>0.25</v>
      </c>
      <c r="D26" s="97">
        <v>0.3</v>
      </c>
      <c r="E26" s="97">
        <v>0.45</v>
      </c>
      <c r="F26" s="66">
        <v>0</v>
      </c>
      <c r="G26" s="56">
        <f>SUM(C26:F26)</f>
        <v>1</v>
      </c>
    </row>
    <row r="27" spans="2:21" s="23" customFormat="1" x14ac:dyDescent="0.25">
      <c r="B27" s="51" t="s">
        <v>31</v>
      </c>
      <c r="C27" s="114"/>
      <c r="D27" s="109"/>
      <c r="E27" s="109"/>
      <c r="F27" s="103"/>
      <c r="G27" s="112">
        <f>E6</f>
        <v>250000</v>
      </c>
      <c r="I27" s="95"/>
      <c r="O27" s="95"/>
    </row>
    <row r="28" spans="2:21" s="23" customFormat="1" x14ac:dyDescent="0.25">
      <c r="B28" s="51" t="s">
        <v>17</v>
      </c>
      <c r="C28" s="114"/>
      <c r="D28" s="109"/>
      <c r="E28" s="109"/>
      <c r="F28" s="103"/>
      <c r="G28" s="113">
        <f>E7</f>
        <v>100000</v>
      </c>
    </row>
    <row r="29" spans="2:21" s="23" customFormat="1" x14ac:dyDescent="0.25">
      <c r="B29" s="53" t="s">
        <v>18</v>
      </c>
      <c r="C29" s="115"/>
      <c r="D29" s="116"/>
      <c r="E29" s="116"/>
      <c r="F29" s="104"/>
      <c r="G29" s="72">
        <f>IF(G27=0,0,G28/G27*100)</f>
        <v>40</v>
      </c>
    </row>
    <row r="30" spans="2:21" s="23" customFormat="1" x14ac:dyDescent="0.25">
      <c r="B30" s="51" t="s">
        <v>16</v>
      </c>
      <c r="C30" s="68">
        <f ca="1">OFFSET(ST_NIProfile,S_ContractType,0)</f>
        <v>0.21112900000000001</v>
      </c>
      <c r="D30" s="60">
        <f ca="1">OFFSET(ST_NIProfile,S_ContractType,1)</f>
        <v>0.321548</v>
      </c>
      <c r="E30" s="60">
        <f ca="1">OFFSET(ST_NIProfile,S_ContractType,2)</f>
        <v>0.46732299999999999</v>
      </c>
      <c r="F30" s="61">
        <f ca="1">OFFSET(ST_NIProfile,S_ContractType,3)</f>
        <v>0</v>
      </c>
      <c r="G30" s="70">
        <f ca="1">SUM(C30:F30)</f>
        <v>1</v>
      </c>
    </row>
    <row r="31" spans="2:21" s="23" customFormat="1" x14ac:dyDescent="0.25">
      <c r="B31" s="53" t="s">
        <v>4</v>
      </c>
      <c r="C31" s="106">
        <f ca="1">OFFSET(St_WAPVP,S_ContractType,1)</f>
        <v>-7.5177999999999995E-2</v>
      </c>
      <c r="D31" s="76">
        <f ca="1">OFFSET(St_WAPVP,S_ContractType,2)</f>
        <v>-1.3254E-2</v>
      </c>
      <c r="E31" s="76">
        <f ca="1">OFFSET(St_WAPVP,S_ContractType,3)</f>
        <v>0.121253</v>
      </c>
      <c r="F31" s="107">
        <f ca="1">OFFSET(St_WAPVP,S_ContractType,4)</f>
        <v>5.7548000000000002E-2</v>
      </c>
      <c r="G31" s="71"/>
      <c r="I31" s="50" t="str">
        <f ca="1">OFFSET(St_ContractTypes,S_ContractType,1)</f>
        <v>Weighted average for letters and large letters formats</v>
      </c>
    </row>
    <row r="32" spans="2:21" s="23" customFormat="1" hidden="1" outlineLevel="1" x14ac:dyDescent="0.25">
      <c r="B32" s="57" t="s">
        <v>9</v>
      </c>
      <c r="C32" s="59">
        <f ca="1">C30*(1-OFFSET(St_Threshold,S_ContractType,0))</f>
        <v>0.20162819500000001</v>
      </c>
      <c r="D32" s="60">
        <f ca="1">D30*(1-OFFSET(St_Threshold,S_ContractType,0))</f>
        <v>0.30707834000000001</v>
      </c>
      <c r="E32" s="60">
        <f ca="1">E30*(1-OFFSET(St_Threshold,S_ContractType,0))</f>
        <v>0.44629346499999994</v>
      </c>
      <c r="F32" s="60">
        <f ca="1">F30*(1-OFFSET(St_Threshold,S_ContractType,0))</f>
        <v>0</v>
      </c>
      <c r="G32" s="73"/>
    </row>
    <row r="33" spans="2:7" s="23" customFormat="1" hidden="1" outlineLevel="1" x14ac:dyDescent="0.25">
      <c r="B33" s="74" t="s">
        <v>10</v>
      </c>
      <c r="C33" s="75">
        <f ca="1">C30*(1+OFFSET(St_Threshold,S_ContractType,0))</f>
        <v>0.22062980499999998</v>
      </c>
      <c r="D33" s="76">
        <f ca="1">D30*(1+OFFSET(St_Threshold,S_ContractType,0))</f>
        <v>0.33601766</v>
      </c>
      <c r="E33" s="76">
        <f ca="1">E30*(1+OFFSET(St_Threshold,S_ContractType,0))</f>
        <v>0.48835253499999998</v>
      </c>
      <c r="F33" s="76">
        <f ca="1">F30*(1+OFFSET(St_Threshold,S_ContractType,0))</f>
        <v>0</v>
      </c>
      <c r="G33" s="77"/>
    </row>
    <row r="34" spans="2:7" s="23" customFormat="1" collapsed="1" x14ac:dyDescent="0.25">
      <c r="B34" s="78" t="s">
        <v>11</v>
      </c>
      <c r="C34" s="80">
        <f ca="1">IF(SUM($C$26:$E$26)=0,0,IF(C26&lt;C32,C26-C32,IF(C26&gt;C33,C26-C33,0)))</f>
        <v>2.9370195000000016E-2</v>
      </c>
      <c r="D34" s="79">
        <f ca="1">IF(SUM($C$26:$E$26)=0,0,IF(D26&lt;D32,D26-D32,IF(D26&gt;D33,D26-D33,0)))</f>
        <v>-7.0783400000000163E-3</v>
      </c>
      <c r="E34" s="79">
        <f ca="1">IF(SUM($C$26:$E$26)=0,0,IF(E26&lt;E32,E26-E32,IF(E26&gt;E33,E26-E33,0)))</f>
        <v>0</v>
      </c>
      <c r="F34" s="79">
        <f ca="1">IF(F26&lt;F32,F26-F32,IF(F26&gt;F33,F26-F33,0))</f>
        <v>0</v>
      </c>
      <c r="G34" s="73"/>
    </row>
    <row r="35" spans="2:7" s="23" customFormat="1" x14ac:dyDescent="0.25">
      <c r="B35" s="81" t="s">
        <v>41</v>
      </c>
      <c r="C35" s="84">
        <f ca="1">IF(AND(C31&lt;0,C34&lt;0),0,IF(C31&lt;0,C34*$G$27*-1,C34*$G$27))</f>
        <v>-7342.5487500000036</v>
      </c>
      <c r="D35" s="82">
        <f ca="1">IF(AND(D31&lt;0,D34&lt;0),0,IF(D31&lt;0,D34*$G$27*-1,D34*$G$27))</f>
        <v>0</v>
      </c>
      <c r="E35" s="82">
        <f ca="1">IF(AND(E31&lt;0,E34&lt;0),0,IF(E31&lt;0,E34*$G$27*-1,E34*$G$27))</f>
        <v>0</v>
      </c>
      <c r="F35" s="82">
        <f ca="1">IF(AND(F31&lt;0,F34&lt;0),0,IF(F31&lt;0,F34*$G$27*-1,F34*$G$27))</f>
        <v>0</v>
      </c>
      <c r="G35" s="83">
        <f ca="1">SUM(C35:F35)</f>
        <v>-7342.5487500000036</v>
      </c>
    </row>
    <row r="36" spans="2:7" x14ac:dyDescent="0.25">
      <c r="B36" s="85" t="s">
        <v>39</v>
      </c>
      <c r="C36" s="88">
        <f ca="1">$G$29*ABS(C31)/100*C35</f>
        <v>-220.79925197100007</v>
      </c>
      <c r="D36" s="86">
        <f ca="1">$G$29*ABS(D31)/100*D35</f>
        <v>0</v>
      </c>
      <c r="E36" s="86">
        <f ca="1">$G$29*ABS(E31)/100*E35</f>
        <v>0</v>
      </c>
      <c r="F36" s="86">
        <f ca="1">$G$29*ABS(F31)/100*F35</f>
        <v>0</v>
      </c>
      <c r="G36" s="87">
        <f ca="1">IF(SUM(C36:F36)&lt;0,0,SUM(C36:F36))</f>
        <v>0</v>
      </c>
    </row>
    <row r="38" spans="2:7" x14ac:dyDescent="0.25">
      <c r="B38" s="140" t="s">
        <v>42</v>
      </c>
      <c r="C38" s="139">
        <f ca="1">IF(C39=0,0,G21+M21+G35)</f>
        <v>0</v>
      </c>
      <c r="D38" s="141">
        <f ca="1">IF(C38&lt;0,0,C38/G6)</f>
        <v>0</v>
      </c>
    </row>
    <row r="39" spans="2:7" x14ac:dyDescent="0.25">
      <c r="B39" s="85" t="s">
        <v>40</v>
      </c>
      <c r="C39" s="91">
        <f ca="1">G22+M22+G36</f>
        <v>0</v>
      </c>
    </row>
  </sheetData>
  <sheetProtection sheet="1" objects="1" scenarios="1"/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FFFF99"/>
  </sheetPr>
  <dimension ref="A1:G4"/>
  <sheetViews>
    <sheetView showGridLines="0" workbookViewId="0">
      <pane ySplit="3" topLeftCell="A4" activePane="bottomLeft" state="frozen"/>
      <selection pane="bottomLeft" activeCell="B5" sqref="B5"/>
    </sheetView>
  </sheetViews>
  <sheetFormatPr defaultRowHeight="12.75" x14ac:dyDescent="0.2"/>
  <cols>
    <col min="1" max="1" width="1.42578125" style="9" customWidth="1"/>
    <col min="2" max="2" width="35.42578125" style="9" bestFit="1" customWidth="1"/>
    <col min="3" max="3" width="49.85546875" style="9" bestFit="1" customWidth="1"/>
    <col min="4" max="4" width="5.5703125" style="9" customWidth="1"/>
    <col min="5" max="5" width="21" style="9" bestFit="1" customWidth="1"/>
    <col min="6" max="6" width="9.140625" style="9"/>
    <col min="7" max="7" width="31.5703125" style="9" bestFit="1" customWidth="1"/>
    <col min="8" max="16384" width="9.140625" style="9"/>
  </cols>
  <sheetData>
    <row r="1" spans="1:7" s="8" customFormat="1" ht="21" x14ac:dyDescent="0.35">
      <c r="A1" s="7" t="s">
        <v>24</v>
      </c>
    </row>
    <row r="3" spans="1:7" ht="15" x14ac:dyDescent="0.25">
      <c r="B3" s="10" t="s">
        <v>25</v>
      </c>
      <c r="C3" s="10" t="s">
        <v>26</v>
      </c>
      <c r="E3" s="11" t="s">
        <v>27</v>
      </c>
      <c r="F3" s="12"/>
      <c r="G3" s="13"/>
    </row>
    <row r="4" spans="1:7" ht="15" x14ac:dyDescent="0.25">
      <c r="B4" s="130" t="s">
        <v>45</v>
      </c>
      <c r="C4" s="17" t="s">
        <v>28</v>
      </c>
      <c r="E4" s="14" t="s">
        <v>29</v>
      </c>
      <c r="F4" s="15">
        <v>1</v>
      </c>
      <c r="G4" s="16" t="str">
        <f ca="1">OFFSET(St_ContractTypes,S_ContractType,0)</f>
        <v>RMW Access Letters Contract 2022</v>
      </c>
    </row>
  </sheetData>
  <sheetProtection sheet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FABC21BE2FB554E8C7BA60406DC021D" ma:contentTypeVersion="8" ma:contentTypeDescription="Create a new document." ma:contentTypeScope="" ma:versionID="b5f9986e10dadb87987aa99343b9d47c">
  <xsd:schema xmlns:xsd="http://www.w3.org/2001/XMLSchema" xmlns:xs="http://www.w3.org/2001/XMLSchema" xmlns:p="http://schemas.microsoft.com/office/2006/metadata/properties" xmlns:ns2="fcb9b7c9-7c1b-47aa-b0c0-298b6e69adfc" xmlns:ns3="c6a4b7fa-877d-4597-b002-57ce20afce07" targetNamespace="http://schemas.microsoft.com/office/2006/metadata/properties" ma:root="true" ma:fieldsID="f8faa6ecae34ee316b277b3f17e79a7d" ns2:_="" ns3:_="">
    <xsd:import namespace="fcb9b7c9-7c1b-47aa-b0c0-298b6e69adfc"/>
    <xsd:import namespace="c6a4b7fa-877d-4597-b002-57ce20afce0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EventHashCode" minOccurs="0"/>
                <xsd:element ref="ns2:MediaServiceGenerationTime" minOccurs="0"/>
                <xsd:element ref="ns2:MediaServiceAutoKeyPoints" minOccurs="0"/>
                <xsd:element ref="ns2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b9b7c9-7c1b-47aa-b0c0-298b6e69adf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6a4b7fa-877d-4597-b002-57ce20afce07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A1FD4E-DF9B-4E72-8571-879D76D8D0D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E722EA6-E60F-46F2-98D6-46E08AC3690D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c6a4b7fa-877d-4597-b002-57ce20afce0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fcb9b7c9-7c1b-47aa-b0c0-298b6e69adfc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E75C1209-4228-47ED-99AB-1CFFE79C9B5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b9b7c9-7c1b-47aa-b0c0-298b6e69adfc"/>
    <ds:schemaRef ds:uri="c6a4b7fa-877d-4597-b002-57ce20afce0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8</vt:i4>
      </vt:variant>
    </vt:vector>
  </HeadingPairs>
  <TitlesOfParts>
    <vt:vector size="11" baseType="lpstr">
      <vt:lpstr>Inputs</vt:lpstr>
      <vt:lpstr>Adjustment Calculator</vt:lpstr>
      <vt:lpstr>Lookups</vt:lpstr>
      <vt:lpstr>L_ContractTypes</vt:lpstr>
      <vt:lpstr>S_ContractType</vt:lpstr>
      <vt:lpstr>St_ContractTypes</vt:lpstr>
      <vt:lpstr>St_EWProfile</vt:lpstr>
      <vt:lpstr>ST_NIProfile</vt:lpstr>
      <vt:lpstr>St_SProfile</vt:lpstr>
      <vt:lpstr>St_Threshold</vt:lpstr>
      <vt:lpstr>St_WAPVP</vt:lpstr>
    </vt:vector>
  </TitlesOfParts>
  <Company>RMG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Katherine Stoker</dc:creator>
  <cp:lastModifiedBy>Chad Bean</cp:lastModifiedBy>
  <dcterms:created xsi:type="dcterms:W3CDTF">2014-12-23T15:38:32Z</dcterms:created>
  <dcterms:modified xsi:type="dcterms:W3CDTF">2022-04-05T12:06:28Z</dcterms:modified>
</cp:coreProperties>
</file>