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150" activeTab="0"/>
  </bookViews>
  <sheets>
    <sheet name="NGPP Example" sheetId="1" r:id="rId1"/>
    <sheet name="NGPP Inputs" sheetId="2" r:id="rId2"/>
  </sheets>
  <definedNames>
    <definedName name="AAUR">'NGPP Example'!$D$9</definedName>
    <definedName name="BASELINEA">'NGPP Inputs'!$C$7</definedName>
    <definedName name="BASELINEB">'NGPP Inputs'!$D$7</definedName>
    <definedName name="BASELINEC">'NGPP Inputs'!$E$7</definedName>
    <definedName name="BASELINED">'NGPP Inputs'!$F$7</definedName>
    <definedName name="EGREVENUE">'NGPP Example'!$D$8</definedName>
    <definedName name="EGVOLUME">'NGPP Example'!$D$7</definedName>
    <definedName name="IZAURA">'NGPP Inputs'!$C$53</definedName>
    <definedName name="IZAURB">'NGPP Inputs'!$D$53</definedName>
    <definedName name="IZAURC">'NGPP Inputs'!$E$53</definedName>
    <definedName name="IZAURD">'NGPP Inputs'!$F$53</definedName>
    <definedName name="_xlnm.Print_Area" localSheetId="0">'NGPP Example'!$A$1:$I$63</definedName>
    <definedName name="_xlnm.Print_Area" localSheetId="1">'NGPP Inputs'!$A$1:$I$54</definedName>
    <definedName name="solver_adj" localSheetId="0" hidden="1">'NGPP Example'!$C$40,'NGPP Example'!$D$40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'NGPP Example'!$H$40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</definedName>
    <definedName name="THRESHOLD">'NGPP Inputs'!$C$12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H5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Must = 100%</t>
        </r>
      </text>
    </comment>
  </commentList>
</comments>
</file>

<file path=xl/sharedStrings.xml><?xml version="1.0" encoding="utf-8"?>
<sst xmlns="http://schemas.openxmlformats.org/spreadsheetml/2006/main" count="121" uniqueCount="64">
  <si>
    <t>Revenue</t>
  </si>
  <si>
    <t>ACTUAL:</t>
  </si>
  <si>
    <t>Volume</t>
  </si>
  <si>
    <t>Zone A</t>
  </si>
  <si>
    <t>Zone B</t>
  </si>
  <si>
    <t>Zone C</t>
  </si>
  <si>
    <t>Zone D</t>
  </si>
  <si>
    <t>Volume %</t>
  </si>
  <si>
    <t>Total</t>
  </si>
  <si>
    <t>BASELINE NATIONAL CONTRACT:</t>
  </si>
  <si>
    <t>Example Volume %</t>
  </si>
  <si>
    <t xml:space="preserve">NGPP MODEL EXAMPLE - </t>
  </si>
  <si>
    <t>Surcharge</t>
  </si>
  <si>
    <t>Surcharge ?</t>
  </si>
  <si>
    <t>CUSTOMER'S ACTUAL NATIONAL CONTRACT:</t>
  </si>
  <si>
    <t>IZAUR*</t>
  </si>
  <si>
    <t>IZAUR</t>
  </si>
  <si>
    <t>* The Implied Zonal AUR (IZAUR) for each zone is then derived from the customer's National contract AUR multiplied by the Zonal percentages.</t>
  </si>
  <si>
    <t>AAUR</t>
  </si>
  <si>
    <t xml:space="preserve">NGPP MODEL INPUTS - </t>
  </si>
  <si>
    <t>2011/12 BASELINE:</t>
  </si>
  <si>
    <t>Letters</t>
  </si>
  <si>
    <t>Large Letters</t>
  </si>
  <si>
    <t>Packets</t>
  </si>
  <si>
    <t>A3 Packets</t>
  </si>
  <si>
    <t>2011/12 TOLERANCE:</t>
  </si>
  <si>
    <t>Threshold %</t>
  </si>
  <si>
    <t>FIN_YEAR</t>
  </si>
  <si>
    <t>PERIOD_SORT</t>
  </si>
  <si>
    <t>2009/10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</si>
  <si>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</si>
  <si>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</si>
  <si>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</si>
  <si>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</si>
  <si>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</si>
  <si>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</si>
  <si>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</si>
  <si>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</si>
  <si>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</si>
  <si>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</si>
  <si>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</si>
  <si>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</si>
  <si>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2010/11</t>
  </si>
  <si>
    <t>Percentage of Total Revenue</t>
  </si>
  <si>
    <t>WEIGHTED ZONAL PRICES:</t>
  </si>
  <si>
    <t>2011/12 RATIOS OF ZONAL TO NATIONAL PRICING (rounded to 7dp):</t>
  </si>
  <si>
    <t>SAP REVENUES PER FORMAT (Oct-09 to Sep-10) [excludes 'Other' format]:</t>
  </si>
  <si>
    <t>Actual Average Unit Revenue (AAUR)</t>
  </si>
  <si>
    <t>This shows the revenue that would have been charged under a National contract given the Baseline volume percentages.</t>
  </si>
  <si>
    <t>Instructions: Input various scenarios on into the yellow cells. For a valid result, cell H31 (blue) must always equal 100%.</t>
  </si>
  <si>
    <t>This shows the effect for the customer given their particular volume percentages.</t>
  </si>
  <si>
    <t>This shows the threshold that a customer has before a surcharge would be applied.</t>
  </si>
  <si>
    <t>Implied Zonal Revenue (incl. Threshold)</t>
  </si>
  <si>
    <t>Tolerance allowed before Surcharge</t>
  </si>
  <si>
    <t>Baseline Volume %</t>
  </si>
  <si>
    <t>Zonal price ratios to apply</t>
  </si>
  <si>
    <t>N/A</t>
  </si>
  <si>
    <t>Threshold to be applied?</t>
  </si>
  <si>
    <t>Percentage scaling needed for negatives</t>
  </si>
  <si>
    <t>Baseline Volume % to be scaled down</t>
  </si>
  <si>
    <t>Relative ratios of negatives</t>
  </si>
  <si>
    <t>Intermediate Baseline Volume %</t>
  </si>
  <si>
    <t>Adjusted Baseline Volume %</t>
  </si>
  <si>
    <t>Intermediate workings to scale Baseline volume %'s for tolerance level: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</si>
</sst>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&quot;£&quot;* #,##0.0_-;\-&quot;£&quot;* #,##0.0_-;_-&quot;£&quot;* &quot;-&quot;??_-;_-@_-"/>
    <numFmt numFmtId="167" formatCode="_-&quot;£&quot;* #,##0_-;\-&quot;£&quot;* #,##0_-;_-&quot;£&quot;* &quot;-&quot;??_-;_-@_-"/>
    <numFmt numFmtId="168" formatCode="_-* #,##0.00\p_-;\-* #,##0.00\p_-;_-* &quot;-&quot;??_-;_-@_-"/>
    <numFmt numFmtId="169" formatCode="0.0%"/>
    <numFmt numFmtId="170" formatCode="0.000%"/>
    <numFmt numFmtId="171" formatCode="0.0000%"/>
    <numFmt numFmtId="172" formatCode="_-* #,##0.00%_-;[Red]* \(#,##0.00%\)_-;_-* &quot;-&quot;??_-;_-@_-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0000000000%"/>
    <numFmt numFmtId="178" formatCode="0.0000000000000000%"/>
  </numFmts>
  <fonts count="27">
    <font>
      <sz val="11"/>
      <name val="Calibri"/>
      <family val="0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44" fontId="0" fillId="0" borderId="0" xfId="44" applyFont="1" applyAlignment="1">
      <alignment/>
    </xf>
    <xf numFmtId="168" fontId="0" fillId="0" borderId="0" xfId="42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 quotePrefix="1">
      <alignment/>
    </xf>
    <xf numFmtId="0" fontId="3" fillId="24" borderId="0" xfId="0" applyFont="1" applyFill="1" applyAlignment="1">
      <alignment/>
    </xf>
    <xf numFmtId="0" fontId="0" fillId="25" borderId="0" xfId="0" applyFill="1" applyAlignment="1">
      <alignment/>
    </xf>
    <xf numFmtId="0" fontId="0" fillId="0" borderId="0" xfId="0" applyAlignment="1">
      <alignment horizontal="left" indent="1"/>
    </xf>
    <xf numFmtId="10" fontId="0" fillId="26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13" xfId="0" applyNumberFormat="1" applyFont="1" applyBorder="1" applyAlignment="1">
      <alignment/>
    </xf>
    <xf numFmtId="165" fontId="0" fillId="0" borderId="14" xfId="42" applyNumberFormat="1" applyFont="1" applyBorder="1" applyAlignment="1">
      <alignment/>
    </xf>
    <xf numFmtId="168" fontId="0" fillId="0" borderId="14" xfId="42" applyNumberFormat="1" applyFont="1" applyBorder="1" applyAlignment="1">
      <alignment/>
    </xf>
    <xf numFmtId="167" fontId="0" fillId="0" borderId="15" xfId="44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68" fontId="0" fillId="0" borderId="11" xfId="42" applyNumberFormat="1" applyFont="1" applyBorder="1" applyAlignment="1">
      <alignment/>
    </xf>
    <xf numFmtId="167" fontId="0" fillId="0" borderId="12" xfId="44" applyNumberFormat="1" applyFont="1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10" fontId="0" fillId="0" borderId="10" xfId="0" applyNumberFormat="1" applyBorder="1" applyAlignment="1">
      <alignment/>
    </xf>
    <xf numFmtId="0" fontId="10" fillId="24" borderId="0" xfId="0" applyFont="1" applyFill="1" applyAlignment="1">
      <alignment/>
    </xf>
    <xf numFmtId="172" fontId="0" fillId="0" borderId="0" xfId="60" applyNumberFormat="1" applyFont="1" applyAlignment="1">
      <alignment/>
    </xf>
    <xf numFmtId="0" fontId="9" fillId="27" borderId="17" xfId="57" applyFont="1" applyFill="1" applyBorder="1" applyAlignment="1">
      <alignment horizontal="center"/>
      <protection/>
    </xf>
    <xf numFmtId="0" fontId="9" fillId="26" borderId="7" xfId="57" applyFont="1" applyFill="1" applyBorder="1" applyAlignment="1">
      <alignment wrapText="1"/>
      <protection/>
    </xf>
    <xf numFmtId="167" fontId="9" fillId="26" borderId="7" xfId="44" applyNumberFormat="1" applyFont="1" applyFill="1" applyBorder="1" applyAlignment="1">
      <alignment horizontal="right" wrapText="1"/>
    </xf>
    <xf numFmtId="167" fontId="9" fillId="26" borderId="18" xfId="44" applyNumberFormat="1" applyFont="1" applyFill="1" applyBorder="1" applyAlignment="1">
      <alignment horizontal="right" wrapText="1"/>
    </xf>
    <xf numFmtId="172" fontId="0" fillId="26" borderId="16" xfId="60" applyNumberFormat="1" applyFont="1" applyFill="1" applyBorder="1" applyAlignment="1">
      <alignment/>
    </xf>
    <xf numFmtId="172" fontId="0" fillId="26" borderId="11" xfId="60" applyNumberFormat="1" applyFont="1" applyFill="1" applyBorder="1" applyAlignment="1">
      <alignment/>
    </xf>
    <xf numFmtId="172" fontId="0" fillId="26" borderId="12" xfId="60" applyNumberFormat="1" applyFont="1" applyFill="1" applyBorder="1" applyAlignment="1">
      <alignment/>
    </xf>
    <xf numFmtId="172" fontId="0" fillId="0" borderId="19" xfId="60" applyNumberFormat="1" applyFont="1" applyBorder="1" applyAlignment="1">
      <alignment/>
    </xf>
    <xf numFmtId="172" fontId="0" fillId="0" borderId="10" xfId="60" applyNumberFormat="1" applyFont="1" applyBorder="1" applyAlignment="1">
      <alignment/>
    </xf>
    <xf numFmtId="172" fontId="0" fillId="0" borderId="16" xfId="60" applyNumberFormat="1" applyFont="1" applyBorder="1" applyAlignment="1">
      <alignment/>
    </xf>
    <xf numFmtId="172" fontId="0" fillId="0" borderId="11" xfId="60" applyNumberFormat="1" applyFont="1" applyBorder="1" applyAlignment="1">
      <alignment/>
    </xf>
    <xf numFmtId="172" fontId="0" fillId="0" borderId="12" xfId="60" applyNumberFormat="1" applyFont="1" applyBorder="1" applyAlignment="1">
      <alignment/>
    </xf>
    <xf numFmtId="172" fontId="0" fillId="0" borderId="20" xfId="0" applyNumberFormat="1" applyBorder="1" applyAlignment="1">
      <alignment/>
    </xf>
    <xf numFmtId="0" fontId="0" fillId="0" borderId="14" xfId="0" applyBorder="1" applyAlignment="1">
      <alignment/>
    </xf>
    <xf numFmtId="167" fontId="0" fillId="0" borderId="21" xfId="0" applyNumberFormat="1" applyBorder="1" applyAlignment="1">
      <alignment/>
    </xf>
    <xf numFmtId="167" fontId="9" fillId="26" borderId="22" xfId="44" applyNumberFormat="1" applyFont="1" applyFill="1" applyBorder="1" applyAlignment="1">
      <alignment horizontal="right" wrapText="1"/>
    </xf>
    <xf numFmtId="167" fontId="9" fillId="26" borderId="23" xfId="44" applyNumberFormat="1" applyFont="1" applyFill="1" applyBorder="1" applyAlignment="1">
      <alignment horizontal="right" wrapText="1"/>
    </xf>
    <xf numFmtId="167" fontId="0" fillId="0" borderId="24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68" fontId="0" fillId="0" borderId="10" xfId="42" applyNumberFormat="1" applyFont="1" applyBorder="1" applyAlignment="1">
      <alignment/>
    </xf>
    <xf numFmtId="167" fontId="0" fillId="0" borderId="10" xfId="44" applyNumberFormat="1" applyFont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9" xfId="0" applyBorder="1" applyAlignment="1">
      <alignment/>
    </xf>
    <xf numFmtId="0" fontId="1" fillId="0" borderId="16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8" fillId="0" borderId="25" xfId="57" applyFont="1" applyFill="1" applyBorder="1" applyAlignment="1">
      <alignment/>
      <protection/>
    </xf>
    <xf numFmtId="10" fontId="0" fillId="26" borderId="16" xfId="0" applyNumberFormat="1" applyFont="1" applyFill="1" applyBorder="1" applyAlignment="1" applyProtection="1">
      <alignment/>
      <protection locked="0"/>
    </xf>
    <xf numFmtId="10" fontId="0" fillId="28" borderId="16" xfId="0" applyNumberFormat="1" applyFont="1" applyFill="1" applyBorder="1" applyAlignment="1">
      <alignment/>
    </xf>
    <xf numFmtId="165" fontId="0" fillId="26" borderId="10" xfId="42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5" xfId="0" applyBorder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8" fontId="1" fillId="0" borderId="10" xfId="42" applyNumberFormat="1" applyFont="1" applyBorder="1" applyAlignment="1">
      <alignment horizontal="right"/>
    </xf>
    <xf numFmtId="168" fontId="0" fillId="0" borderId="10" xfId="42" applyNumberFormat="1" applyFont="1" applyBorder="1" applyAlignment="1">
      <alignment horizontal="left" indent="1"/>
    </xf>
    <xf numFmtId="167" fontId="0" fillId="26" borderId="10" xfId="44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left" indent="1"/>
    </xf>
    <xf numFmtId="172" fontId="0" fillId="0" borderId="16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172" fontId="0" fillId="0" borderId="12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6" xfId="0" applyFont="1" applyBorder="1" applyAlignment="1">
      <alignment horizontal="left" indent="1"/>
    </xf>
    <xf numFmtId="0" fontId="0" fillId="0" borderId="11" xfId="0" applyFont="1" applyBorder="1" applyAlignment="1">
      <alignment horizontal="left" indent="1"/>
    </xf>
    <xf numFmtId="0" fontId="0" fillId="0" borderId="11" xfId="0" applyFont="1" applyFill="1" applyBorder="1" applyAlignment="1">
      <alignment horizontal="left" indent="1"/>
    </xf>
    <xf numFmtId="0" fontId="0" fillId="0" borderId="12" xfId="0" applyFont="1" applyFill="1" applyBorder="1" applyAlignment="1">
      <alignment horizontal="left" indent="1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pu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5"/>
  <sheetViews>
    <sheetView showGridLines="0" tabSelected="1" zoomScalePageLayoutView="0" workbookViewId="0" topLeftCell="A1">
      <pane ySplit="10" topLeftCell="BM11" activePane="bottomLeft" state="frozen"/>
      <selection pane="topLeft" activeCell="A1" sqref="A1"/>
      <selection pane="bottomLeft" activeCell="L10" sqref="L10"/>
    </sheetView>
  </sheetViews>
  <sheetFormatPr defaultColWidth="9.140625" defaultRowHeight="15" outlineLevelRow="1"/>
  <cols>
    <col min="1" max="1" width="2.7109375" style="0" customWidth="1"/>
    <col min="2" max="2" width="40.140625" style="0" customWidth="1"/>
    <col min="3" max="6" width="15.7109375" style="0" customWidth="1"/>
    <col min="7" max="7" width="2.7109375" style="0" customWidth="1"/>
    <col min="8" max="8" width="15.7109375" style="0" customWidth="1"/>
    <col min="9" max="9" width="21.7109375" style="0" customWidth="1"/>
  </cols>
  <sheetData>
    <row r="2" spans="2:9" ht="18.75">
      <c r="B2" s="25" t="s">
        <v>11</v>
      </c>
      <c r="C2" s="7"/>
      <c r="D2" s="7"/>
      <c r="E2" s="7"/>
      <c r="F2" s="7"/>
      <c r="G2" s="7"/>
      <c r="H2" s="7"/>
      <c r="I2" s="7"/>
    </row>
    <row r="3" ht="4.5" customHeight="1"/>
    <row r="4" spans="2:8" ht="15">
      <c r="B4" s="8" t="s">
        <v>49</v>
      </c>
      <c r="C4" s="8"/>
      <c r="D4" s="8"/>
      <c r="E4" s="8"/>
      <c r="F4" s="8"/>
      <c r="G4" s="8"/>
      <c r="H4" s="8"/>
    </row>
    <row r="6" ht="15">
      <c r="B6" s="4" t="s">
        <v>1</v>
      </c>
    </row>
    <row r="7" spans="2:4" ht="15">
      <c r="B7" s="62" t="s">
        <v>2</v>
      </c>
      <c r="C7" s="52"/>
      <c r="D7" s="60">
        <v>10000000</v>
      </c>
    </row>
    <row r="8" spans="2:4" ht="15">
      <c r="B8" s="62" t="s">
        <v>0</v>
      </c>
      <c r="C8" s="52"/>
      <c r="D8" s="67">
        <v>1600000</v>
      </c>
    </row>
    <row r="9" spans="2:4" ht="15">
      <c r="B9" s="62" t="s">
        <v>47</v>
      </c>
      <c r="C9" s="52"/>
      <c r="D9" s="49">
        <f>D8/D7*100</f>
        <v>16</v>
      </c>
    </row>
    <row r="10" ht="15">
      <c r="B10" s="61"/>
    </row>
    <row r="12" ht="15">
      <c r="B12" s="4" t="s">
        <v>9</v>
      </c>
    </row>
    <row r="13" ht="15">
      <c r="B13" s="63" t="s">
        <v>48</v>
      </c>
    </row>
    <row r="14" ht="4.5" customHeight="1">
      <c r="B14" s="4"/>
    </row>
    <row r="15" spans="3:8" ht="15">
      <c r="C15" s="5" t="s">
        <v>3</v>
      </c>
      <c r="D15" s="5" t="s">
        <v>4</v>
      </c>
      <c r="E15" s="5" t="s">
        <v>5</v>
      </c>
      <c r="F15" s="5" t="s">
        <v>6</v>
      </c>
      <c r="H15" s="5" t="s">
        <v>8</v>
      </c>
    </row>
    <row r="16" spans="2:8" ht="15">
      <c r="B16" s="21" t="s">
        <v>7</v>
      </c>
      <c r="C16" s="17">
        <f>BASELINEA</f>
        <v>0.346</v>
      </c>
      <c r="D16" s="13">
        <f>BASELINEB</f>
        <v>0.303</v>
      </c>
      <c r="E16" s="17">
        <f>BASELINEC</f>
        <v>0.195</v>
      </c>
      <c r="F16" s="17">
        <f>BASELINED</f>
        <v>0.156</v>
      </c>
      <c r="H16" s="17">
        <f>SUM(C16:F16)</f>
        <v>1</v>
      </c>
    </row>
    <row r="17" spans="2:8" ht="15">
      <c r="B17" s="22" t="s">
        <v>2</v>
      </c>
      <c r="C17" s="18">
        <f>EGVOLUME*C16</f>
        <v>3459999.9999999995</v>
      </c>
      <c r="D17" s="14">
        <f>EGVOLUME*D16</f>
        <v>3030000</v>
      </c>
      <c r="E17" s="18">
        <f>EGVOLUME*E16</f>
        <v>1950000</v>
      </c>
      <c r="F17" s="18">
        <f>EGVOLUME*F16</f>
        <v>1560000</v>
      </c>
      <c r="H17" s="18">
        <f>SUM(C17:F17)</f>
        <v>10000000</v>
      </c>
    </row>
    <row r="18" spans="2:8" ht="15">
      <c r="B18" s="22" t="s">
        <v>18</v>
      </c>
      <c r="C18" s="19">
        <f>AAUR</f>
        <v>16</v>
      </c>
      <c r="D18" s="15">
        <f>AAUR</f>
        <v>16</v>
      </c>
      <c r="E18" s="19">
        <f>AAUR</f>
        <v>16</v>
      </c>
      <c r="F18" s="19">
        <f>AAUR</f>
        <v>16</v>
      </c>
      <c r="H18" s="19">
        <f>H19/H17*100</f>
        <v>16</v>
      </c>
    </row>
    <row r="19" spans="2:8" ht="15">
      <c r="B19" s="23" t="s">
        <v>0</v>
      </c>
      <c r="C19" s="20">
        <f>C17*C18/100</f>
        <v>553599.9999999999</v>
      </c>
      <c r="D19" s="16">
        <f>D17*D18/100</f>
        <v>484800</v>
      </c>
      <c r="E19" s="20">
        <f>E17*E18/100</f>
        <v>312000</v>
      </c>
      <c r="F19" s="20">
        <f>F17*F18/100</f>
        <v>249600</v>
      </c>
      <c r="H19" s="20">
        <f>SUM(C19:G19)</f>
        <v>1600000</v>
      </c>
    </row>
    <row r="22" ht="15">
      <c r="B22" s="4" t="str">
        <f>"BASELINE NATIONAL CONTRACT: +"&amp;TEXT(THRESHOLD,"#.##%")&amp;" THRESHOLD"</f>
        <v>BASELINE NATIONAL CONTRACT: +7.5% THRESHOLD</v>
      </c>
    </row>
    <row r="23" ht="15">
      <c r="B23" s="64" t="s">
        <v>51</v>
      </c>
    </row>
    <row r="24" ht="4.5" customHeight="1">
      <c r="B24" s="4"/>
    </row>
    <row r="25" ht="15" customHeight="1" hidden="1" outlineLevel="1">
      <c r="B25" s="4"/>
    </row>
    <row r="26" ht="15" customHeight="1" hidden="1" outlineLevel="1">
      <c r="B26" s="4" t="s">
        <v>63</v>
      </c>
    </row>
    <row r="27" s="4" customFormat="1" ht="4.5" customHeight="1" hidden="1" outlineLevel="1"/>
    <row r="28" spans="2:8" ht="15" customHeight="1" hidden="1" outlineLevel="1">
      <c r="B28" s="4"/>
      <c r="C28" s="5" t="s">
        <v>3</v>
      </c>
      <c r="D28" s="5" t="s">
        <v>4</v>
      </c>
      <c r="E28" s="5" t="s">
        <v>5</v>
      </c>
      <c r="F28" s="5" t="s">
        <v>6</v>
      </c>
      <c r="H28" s="5" t="s">
        <v>8</v>
      </c>
    </row>
    <row r="29" spans="2:9" ht="15" customHeight="1" hidden="1" outlineLevel="1">
      <c r="B29" s="74" t="s">
        <v>54</v>
      </c>
      <c r="C29" s="69">
        <f>C16</f>
        <v>0.346</v>
      </c>
      <c r="D29" s="69">
        <f>D16</f>
        <v>0.303</v>
      </c>
      <c r="E29" s="69">
        <f>E16</f>
        <v>0.195</v>
      </c>
      <c r="F29" s="69">
        <f>F16</f>
        <v>0.156</v>
      </c>
      <c r="H29" s="69">
        <f>SUM(C29:G29)</f>
        <v>1</v>
      </c>
      <c r="I29" s="78" t="str">
        <f>IF(H29=1,"OK","ERROR!")</f>
        <v>OK</v>
      </c>
    </row>
    <row r="30" spans="2:8" ht="15" customHeight="1" hidden="1" outlineLevel="1">
      <c r="B30" s="75" t="s">
        <v>55</v>
      </c>
      <c r="C30" s="70">
        <f>IZAURA</f>
        <v>-0.10991830104460808</v>
      </c>
      <c r="D30" s="70">
        <f>IZAURB</f>
        <v>0.000994616434603601</v>
      </c>
      <c r="E30" s="70">
        <f>IZAURC</f>
        <v>0.11459229730270647</v>
      </c>
      <c r="F30" s="70">
        <f>IZAURD</f>
        <v>0.09862093322797942</v>
      </c>
      <c r="H30" s="73" t="s">
        <v>56</v>
      </c>
    </row>
    <row r="31" spans="2:8" ht="15" customHeight="1" hidden="1" outlineLevel="1">
      <c r="B31" s="75" t="s">
        <v>57</v>
      </c>
      <c r="C31" s="71" t="str">
        <f>IF(C30&lt;ROUND(0,7),"NO","YES")</f>
        <v>NO</v>
      </c>
      <c r="D31" s="71" t="str">
        <f>IF(D30&lt;ROUND(0,7),"NO","YES")</f>
        <v>YES</v>
      </c>
      <c r="E31" s="71" t="str">
        <f>IF(E30&lt;ROUND(0,7),"NO","YES")</f>
        <v>YES</v>
      </c>
      <c r="F31" s="71" t="str">
        <f>IF(F30&lt;ROUND(0,7),"NO","YES")</f>
        <v>YES</v>
      </c>
      <c r="H31" s="73" t="s">
        <v>56</v>
      </c>
    </row>
    <row r="32" spans="2:8" ht="15" customHeight="1" hidden="1" outlineLevel="1">
      <c r="B32" s="76" t="s">
        <v>61</v>
      </c>
      <c r="C32" s="70">
        <f>IF(C31="NO",C29,C29*(1+THRESHOLD))</f>
        <v>0.346</v>
      </c>
      <c r="D32" s="70">
        <f>IF(D31="NO",D29,D29*(1+THRESHOLD))</f>
        <v>0.325725</v>
      </c>
      <c r="E32" s="70">
        <f>IF(E31="NO",E29,E29*(1+THRESHOLD))</f>
        <v>0.209625</v>
      </c>
      <c r="F32" s="70">
        <f>IF(F31="NO",F29,F29*(1+THRESHOLD))</f>
        <v>0.1677</v>
      </c>
      <c r="H32" s="70">
        <f>SUM(C32:G32)</f>
        <v>1.0490499999999998</v>
      </c>
    </row>
    <row r="33" spans="2:8" ht="15" customHeight="1" hidden="1" outlineLevel="1">
      <c r="B33" s="76" t="s">
        <v>58</v>
      </c>
      <c r="C33" s="11"/>
      <c r="D33" s="11"/>
      <c r="E33" s="11"/>
      <c r="F33" s="11"/>
      <c r="H33" s="70">
        <f>H29-H32</f>
        <v>-0.049049999999999816</v>
      </c>
    </row>
    <row r="34" spans="2:8" ht="15" customHeight="1" hidden="1" outlineLevel="1">
      <c r="B34" s="76" t="s">
        <v>59</v>
      </c>
      <c r="C34" s="70">
        <f>IF(C31="NO",C29,0)</f>
        <v>0.346</v>
      </c>
      <c r="D34" s="70">
        <f>IF(D31="NO",D29,0)</f>
        <v>0</v>
      </c>
      <c r="E34" s="70">
        <f>IF(E31="NO",E29,0)</f>
        <v>0</v>
      </c>
      <c r="F34" s="70">
        <f>IF(F31="NO",F29,0)</f>
        <v>0</v>
      </c>
      <c r="H34" s="70">
        <f>SUM(C34:G34)</f>
        <v>0.346</v>
      </c>
    </row>
    <row r="35" spans="2:9" ht="15" customHeight="1" hidden="1" outlineLevel="1">
      <c r="B35" s="76" t="s">
        <v>60</v>
      </c>
      <c r="C35" s="70">
        <f>C34/$H$34</f>
        <v>1</v>
      </c>
      <c r="D35" s="70">
        <f>D34/$H$34</f>
        <v>0</v>
      </c>
      <c r="E35" s="70">
        <f>E34/$H$34</f>
        <v>0</v>
      </c>
      <c r="F35" s="70">
        <f>F34/$H$34</f>
        <v>0</v>
      </c>
      <c r="H35" s="70">
        <f>SUM(C35:F35)</f>
        <v>1</v>
      </c>
      <c r="I35" s="78" t="str">
        <f>IF(H35=1,"OK","ERROR!")</f>
        <v>OK</v>
      </c>
    </row>
    <row r="36" spans="2:9" ht="15" customHeight="1" hidden="1" outlineLevel="1">
      <c r="B36" s="77" t="s">
        <v>62</v>
      </c>
      <c r="C36" s="72">
        <f>IF(C31="NO",C34+$H$33*C35,C32)</f>
        <v>0.29695000000000016</v>
      </c>
      <c r="D36" s="72">
        <f>IF(D31="NO",D34+$H$33*D35,D32)</f>
        <v>0.325725</v>
      </c>
      <c r="E36" s="72">
        <f>IF(E31="NO",E34+$H$33*E35,E32)</f>
        <v>0.209625</v>
      </c>
      <c r="F36" s="72">
        <f>IF(F31="NO",F34+$H$33*F35,F32)</f>
        <v>0.1677</v>
      </c>
      <c r="H36" s="72">
        <f>SUM(C36:G36)</f>
        <v>1</v>
      </c>
      <c r="I36" s="78" t="str">
        <f>IF(H36=1,"OK","ERROR!")</f>
        <v>OK</v>
      </c>
    </row>
    <row r="37" ht="15" customHeight="1" hidden="1" outlineLevel="1">
      <c r="B37" s="63"/>
    </row>
    <row r="38" ht="15" customHeight="1" hidden="1" outlineLevel="1">
      <c r="B38" s="63"/>
    </row>
    <row r="39" spans="3:8" ht="15" collapsed="1">
      <c r="C39" s="5" t="s">
        <v>3</v>
      </c>
      <c r="D39" s="5" t="s">
        <v>4</v>
      </c>
      <c r="E39" s="5" t="s">
        <v>5</v>
      </c>
      <c r="F39" s="5" t="s">
        <v>6</v>
      </c>
      <c r="H39" s="5" t="s">
        <v>8</v>
      </c>
    </row>
    <row r="40" spans="2:8" ht="15">
      <c r="B40" s="21" t="s">
        <v>7</v>
      </c>
      <c r="C40" s="17">
        <f>C36</f>
        <v>0.29695000000000016</v>
      </c>
      <c r="D40" s="17">
        <f>D36</f>
        <v>0.325725</v>
      </c>
      <c r="E40" s="17">
        <f>E36</f>
        <v>0.209625</v>
      </c>
      <c r="F40" s="17">
        <f>F36</f>
        <v>0.1677</v>
      </c>
      <c r="H40" s="17">
        <f>SUM(C40:F40)</f>
        <v>1</v>
      </c>
    </row>
    <row r="41" spans="2:8" ht="15">
      <c r="B41" s="22" t="s">
        <v>2</v>
      </c>
      <c r="C41" s="18">
        <f>EGVOLUME*C40</f>
        <v>2969500.0000000014</v>
      </c>
      <c r="D41" s="18">
        <f>EGVOLUME*D40</f>
        <v>3257250</v>
      </c>
      <c r="E41" s="18">
        <f>EGVOLUME*E40</f>
        <v>2096250</v>
      </c>
      <c r="F41" s="18">
        <f>EGVOLUME*F40</f>
        <v>1676999.9999999998</v>
      </c>
      <c r="H41" s="18">
        <f>SUM(C41:F41)</f>
        <v>10000000.000000002</v>
      </c>
    </row>
    <row r="42" spans="2:8" ht="15">
      <c r="B42" s="22" t="s">
        <v>18</v>
      </c>
      <c r="C42" s="19">
        <f>AAUR</f>
        <v>16</v>
      </c>
      <c r="D42" s="19">
        <f>AAUR</f>
        <v>16</v>
      </c>
      <c r="E42" s="19">
        <f>AAUR</f>
        <v>16</v>
      </c>
      <c r="F42" s="19">
        <f>AAUR</f>
        <v>16</v>
      </c>
      <c r="H42" s="19">
        <f>H43/H41*100</f>
        <v>16</v>
      </c>
    </row>
    <row r="43" spans="2:8" ht="15">
      <c r="B43" s="23" t="s">
        <v>0</v>
      </c>
      <c r="C43" s="20">
        <f>C41*C42/100</f>
        <v>475120.00000000023</v>
      </c>
      <c r="D43" s="20">
        <f>D41*D42/100</f>
        <v>521160</v>
      </c>
      <c r="E43" s="20">
        <f>E41*E42/100</f>
        <v>335400</v>
      </c>
      <c r="F43" s="20">
        <f>F41*F42/100</f>
        <v>268319.99999999994</v>
      </c>
      <c r="H43" s="20">
        <f>SUM(C43:F43)</f>
        <v>1600000.0000000002</v>
      </c>
    </row>
    <row r="44" spans="3:8" ht="15">
      <c r="C44" s="1"/>
      <c r="D44" s="1"/>
      <c r="E44" s="1"/>
      <c r="F44" s="1"/>
      <c r="H44" s="1"/>
    </row>
    <row r="45" spans="2:8" ht="15">
      <c r="B45" t="s">
        <v>17</v>
      </c>
      <c r="C45" s="1"/>
      <c r="D45" s="1"/>
      <c r="E45" s="1"/>
      <c r="F45" s="1"/>
      <c r="H45" s="1"/>
    </row>
    <row r="46" spans="2:8" ht="15">
      <c r="B46" s="51" t="s">
        <v>15</v>
      </c>
      <c r="C46" s="49">
        <f>D9*(1+IZAURA)</f>
        <v>14.24130718328627</v>
      </c>
      <c r="D46" s="49">
        <f>D9*(1+IZAURB)</f>
        <v>16.015913862953656</v>
      </c>
      <c r="E46" s="49">
        <f>D9*(1+IZAURC)</f>
        <v>17.833476756843304</v>
      </c>
      <c r="F46" s="49">
        <f>D9*(1+IZAURD)</f>
        <v>17.577934931647672</v>
      </c>
      <c r="H46" s="49">
        <f>H47/H41*100</f>
        <v>16.131901964278033</v>
      </c>
    </row>
    <row r="47" spans="2:8" ht="15">
      <c r="B47" s="51" t="s">
        <v>52</v>
      </c>
      <c r="C47" s="50">
        <f>C41*C46/100</f>
        <v>422895.616807686</v>
      </c>
      <c r="D47" s="50">
        <f>D41*D46/100</f>
        <v>521678.354301058</v>
      </c>
      <c r="E47" s="50">
        <f>E41*E46/100</f>
        <v>373834.2565153278</v>
      </c>
      <c r="F47" s="50">
        <f>F41*F46/100</f>
        <v>294781.96880373143</v>
      </c>
      <c r="H47" s="50">
        <f>SUM(C47:F47)</f>
        <v>1613190.1964278033</v>
      </c>
    </row>
    <row r="49" spans="2:8" ht="15">
      <c r="B49" s="68" t="s">
        <v>53</v>
      </c>
      <c r="F49" s="6"/>
      <c r="H49" s="50">
        <f>H47-H19</f>
        <v>13190.196427803254</v>
      </c>
    </row>
    <row r="50" spans="6:8" ht="15">
      <c r="F50" s="6"/>
      <c r="H50" s="2"/>
    </row>
    <row r="51" spans="6:8" ht="15">
      <c r="F51" s="6"/>
      <c r="H51" s="2"/>
    </row>
    <row r="52" ht="15">
      <c r="B52" s="4" t="s">
        <v>14</v>
      </c>
    </row>
    <row r="53" ht="15">
      <c r="B53" s="63" t="s">
        <v>50</v>
      </c>
    </row>
    <row r="54" ht="4.5" customHeight="1">
      <c r="B54" s="4"/>
    </row>
    <row r="55" spans="3:8" ht="15">
      <c r="C55" s="5" t="s">
        <v>3</v>
      </c>
      <c r="D55" s="5" t="s">
        <v>4</v>
      </c>
      <c r="E55" s="5" t="s">
        <v>5</v>
      </c>
      <c r="F55" s="5" t="s">
        <v>6</v>
      </c>
      <c r="H55" s="5" t="s">
        <v>8</v>
      </c>
    </row>
    <row r="56" spans="2:8" ht="15">
      <c r="B56" s="21" t="s">
        <v>10</v>
      </c>
      <c r="C56" s="58">
        <v>0.1727</v>
      </c>
      <c r="D56" s="58">
        <v>0.45</v>
      </c>
      <c r="E56" s="58">
        <v>0.2096</v>
      </c>
      <c r="F56" s="58">
        <v>0.1677</v>
      </c>
      <c r="H56" s="59">
        <f>IF(SUM(C56:F56)&lt;&gt;1,"Error",SUM(C56:F56))</f>
        <v>1</v>
      </c>
    </row>
    <row r="57" spans="2:8" ht="15">
      <c r="B57" s="22" t="s">
        <v>2</v>
      </c>
      <c r="C57" s="18">
        <f>EGVOLUME*C56</f>
        <v>1727000</v>
      </c>
      <c r="D57" s="18">
        <f>EGVOLUME*D56</f>
        <v>4500000</v>
      </c>
      <c r="E57" s="18">
        <f>EGVOLUME*E56</f>
        <v>2096000</v>
      </c>
      <c r="F57" s="18">
        <f>EGVOLUME*F56</f>
        <v>1676999.9999999998</v>
      </c>
      <c r="H57" s="18">
        <f>SUM(C57:F57)</f>
        <v>10000000</v>
      </c>
    </row>
    <row r="58" spans="2:8" ht="15">
      <c r="B58" s="22" t="s">
        <v>16</v>
      </c>
      <c r="C58" s="19">
        <f>C46</f>
        <v>14.24130718328627</v>
      </c>
      <c r="D58" s="19">
        <f>D46</f>
        <v>16.015913862953656</v>
      </c>
      <c r="E58" s="19">
        <f>E46</f>
        <v>17.833476756843304</v>
      </c>
      <c r="F58" s="19">
        <f>F46</f>
        <v>17.577934931647672</v>
      </c>
      <c r="H58" s="19">
        <f>H59/H57*100</f>
        <v>16.352351405154355</v>
      </c>
    </row>
    <row r="59" spans="2:8" ht="15">
      <c r="B59" s="23" t="s">
        <v>0</v>
      </c>
      <c r="C59" s="20">
        <f>C57*C58/100</f>
        <v>245947.3750553539</v>
      </c>
      <c r="D59" s="20">
        <f>D57*D58/100</f>
        <v>720716.1238329145</v>
      </c>
      <c r="E59" s="20">
        <f>E57*E58/100</f>
        <v>373789.6728234357</v>
      </c>
      <c r="F59" s="20">
        <f>F57*F58/100</f>
        <v>294781.96880373143</v>
      </c>
      <c r="H59" s="20">
        <f>SUM(C59:F59)</f>
        <v>1635235.1405154355</v>
      </c>
    </row>
    <row r="60" spans="3:8" ht="15">
      <c r="C60" s="3"/>
      <c r="D60" s="3"/>
      <c r="E60" s="3"/>
      <c r="F60" s="3"/>
      <c r="H60" s="3"/>
    </row>
    <row r="61" spans="3:8" ht="15">
      <c r="C61" s="3"/>
      <c r="D61" s="3"/>
      <c r="E61" s="3"/>
      <c r="F61" s="66" t="s">
        <v>13</v>
      </c>
      <c r="H61" s="65" t="str">
        <f>IF(H59&gt;H47,"YES","NO")</f>
        <v>YES</v>
      </c>
    </row>
    <row r="62" spans="3:8" ht="15">
      <c r="C62" s="3"/>
      <c r="D62" s="3"/>
      <c r="E62" s="3"/>
      <c r="F62" s="66" t="s">
        <v>12</v>
      </c>
      <c r="H62" s="50">
        <f>IF(H61="YES",H59-H47,0)</f>
        <v>22044.944087632233</v>
      </c>
    </row>
    <row r="63" spans="3:5" ht="15">
      <c r="C63" s="3"/>
      <c r="D63" s="3"/>
      <c r="E63" s="3"/>
    </row>
    <row r="64" spans="3:8" ht="15">
      <c r="C64" s="3"/>
      <c r="D64" s="3"/>
      <c r="E64" s="3"/>
      <c r="F64" s="3"/>
      <c r="H64" s="3"/>
    </row>
    <row r="65" ht="15">
      <c r="B65" s="4"/>
    </row>
  </sheetData>
  <sheetProtection formatCells="0" formatColumns="0" formatRows="0" insertColumns="0" insertRows="0" insertHyperlinks="0" deleteColumns="0" deleteRows="0" selectLockedCells="1" sort="0" autoFilter="0" pivotTables="0"/>
  <printOptions/>
  <pageMargins left="0.5905511811023623" right="0.5905511811023623" top="0.5905511811023623" bottom="0.5905511811023623" header="0.5118110236220472" footer="0.31496062992125984"/>
  <pageSetup fitToHeight="1" fitToWidth="1" horizontalDpi="600" verticalDpi="600" orientation="landscape" paperSize="9" scale="75" r:id="rId3"/>
  <headerFooter alignWithMargins="0">
    <oddFooter>&amp;L&amp;F
&amp;A&amp;C&amp;D -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3"/>
  <sheetViews>
    <sheetView showGridLines="0" zoomScalePageLayoutView="0" workbookViewId="0" topLeftCell="A1">
      <pane ySplit="3" topLeftCell="BM28" activePane="bottomLeft" state="frozen"/>
      <selection pane="topLeft" activeCell="A1" sqref="A1"/>
      <selection pane="bottomLeft" activeCell="C53" sqref="C53"/>
    </sheetView>
  </sheetViews>
  <sheetFormatPr defaultColWidth="9.140625" defaultRowHeight="15"/>
  <cols>
    <col min="1" max="1" width="2.7109375" style="0" customWidth="1"/>
    <col min="2" max="8" width="15.7109375" style="0" customWidth="1"/>
  </cols>
  <sheetData>
    <row r="2" spans="2:9" ht="18.75">
      <c r="B2" s="25" t="s">
        <v>19</v>
      </c>
      <c r="C2" s="7"/>
      <c r="D2" s="7"/>
      <c r="E2" s="7"/>
      <c r="F2" s="7"/>
      <c r="G2" s="7"/>
      <c r="H2" s="7"/>
      <c r="I2" s="7"/>
    </row>
    <row r="4" ht="15">
      <c r="B4" s="4" t="s">
        <v>20</v>
      </c>
    </row>
    <row r="5" ht="4.5" customHeight="1">
      <c r="B5" s="4"/>
    </row>
    <row r="6" spans="3:7" ht="15">
      <c r="C6" s="5" t="s">
        <v>3</v>
      </c>
      <c r="D6" s="5" t="s">
        <v>4</v>
      </c>
      <c r="E6" s="5" t="s">
        <v>5</v>
      </c>
      <c r="F6" s="5" t="s">
        <v>6</v>
      </c>
      <c r="G6" s="5" t="s">
        <v>8</v>
      </c>
    </row>
    <row r="7" spans="2:7" ht="15">
      <c r="B7" s="56" t="s">
        <v>7</v>
      </c>
      <c r="C7" s="10">
        <v>0.346</v>
      </c>
      <c r="D7" s="10">
        <v>0.303</v>
      </c>
      <c r="E7" s="10">
        <v>0.195</v>
      </c>
      <c r="F7" s="10">
        <v>0.156</v>
      </c>
      <c r="G7" s="24">
        <f>SUM(C7:F7)</f>
        <v>1</v>
      </c>
    </row>
    <row r="8" ht="15">
      <c r="C8" s="9"/>
    </row>
    <row r="9" ht="15">
      <c r="C9" s="9"/>
    </row>
    <row r="10" ht="15">
      <c r="B10" s="4" t="s">
        <v>25</v>
      </c>
    </row>
    <row r="11" ht="4.5" customHeight="1"/>
    <row r="12" spans="2:3" ht="15">
      <c r="B12" s="56" t="s">
        <v>26</v>
      </c>
      <c r="C12" s="10">
        <v>0.075</v>
      </c>
    </row>
    <row r="15" ht="15">
      <c r="B15" s="4" t="s">
        <v>45</v>
      </c>
    </row>
    <row r="16" ht="4.5" customHeight="1"/>
    <row r="17" spans="3:6" ht="15">
      <c r="C17" s="5" t="s">
        <v>3</v>
      </c>
      <c r="D17" s="5" t="s">
        <v>4</v>
      </c>
      <c r="E17" s="5" t="s">
        <v>5</v>
      </c>
      <c r="F17" s="5" t="s">
        <v>6</v>
      </c>
    </row>
    <row r="18" spans="2:6" ht="15">
      <c r="B18" s="53" t="s">
        <v>21</v>
      </c>
      <c r="C18" s="31">
        <v>-0.108840696</v>
      </c>
      <c r="D18" s="31">
        <v>0.0026904</v>
      </c>
      <c r="E18" s="31">
        <v>0.109875115</v>
      </c>
      <c r="F18" s="31">
        <v>0.098833605</v>
      </c>
    </row>
    <row r="19" spans="2:6" ht="15">
      <c r="B19" s="54" t="s">
        <v>22</v>
      </c>
      <c r="C19" s="32">
        <v>-0.111402086</v>
      </c>
      <c r="D19" s="32">
        <v>-0.005905455</v>
      </c>
      <c r="E19" s="32">
        <v>0.120128557</v>
      </c>
      <c r="F19" s="32">
        <v>0.108393629</v>
      </c>
    </row>
    <row r="20" spans="2:6" ht="15">
      <c r="B20" s="54" t="s">
        <v>23</v>
      </c>
      <c r="C20" s="32">
        <v>-0.15140456</v>
      </c>
      <c r="D20" s="32">
        <v>-0.026521213</v>
      </c>
      <c r="E20" s="32">
        <v>0.304131087</v>
      </c>
      <c r="F20" s="32">
        <v>0.007156047</v>
      </c>
    </row>
    <row r="21" spans="2:6" ht="15">
      <c r="B21" s="55" t="s">
        <v>24</v>
      </c>
      <c r="C21" s="33">
        <v>-0.15140456</v>
      </c>
      <c r="D21" s="33">
        <v>-0.026521213</v>
      </c>
      <c r="E21" s="33">
        <v>0.304131087</v>
      </c>
      <c r="F21" s="33">
        <v>0.007156047</v>
      </c>
    </row>
    <row r="22" spans="3:6" ht="15">
      <c r="C22" s="26"/>
      <c r="D22" s="26"/>
      <c r="E22" s="26"/>
      <c r="F22" s="26"/>
    </row>
    <row r="24" ht="15">
      <c r="B24" s="4" t="s">
        <v>46</v>
      </c>
    </row>
    <row r="25" ht="4.5" customHeight="1">
      <c r="B25" s="4"/>
    </row>
    <row r="26" spans="2:8" ht="15">
      <c r="B26" s="27" t="s">
        <v>27</v>
      </c>
      <c r="C26" s="27" t="s">
        <v>28</v>
      </c>
      <c r="D26" s="27" t="s">
        <v>21</v>
      </c>
      <c r="E26" s="27" t="s">
        <v>22</v>
      </c>
      <c r="F26" s="27" t="s">
        <v>23</v>
      </c>
      <c r="G26" s="27" t="s">
        <v>24</v>
      </c>
      <c r="H26" s="5" t="s">
        <v>8</v>
      </c>
    </row>
    <row r="27" spans="2:8" ht="15">
      <c r="B27" s="28" t="s">
        <v>29</v>
      </c>
      <c r="C27" s="28" t="s">
        <v>36</v>
      </c>
      <c r="D27" s="29">
        <v>84160453.74000113</v>
      </c>
      <c r="E27" s="29">
        <v>14281322.640000131</v>
      </c>
      <c r="F27" s="29">
        <v>874984.010000004</v>
      </c>
      <c r="G27" s="42">
        <v>29005.969999999976</v>
      </c>
      <c r="H27" s="45">
        <f>SUM(D27:G27)</f>
        <v>99345766.36000127</v>
      </c>
    </row>
    <row r="28" spans="2:8" ht="15">
      <c r="B28" s="28" t="s">
        <v>29</v>
      </c>
      <c r="C28" s="28" t="s">
        <v>37</v>
      </c>
      <c r="D28" s="29">
        <v>75942788.71000075</v>
      </c>
      <c r="E28" s="29">
        <v>13553416.980000049</v>
      </c>
      <c r="F28" s="29">
        <v>1183779.5400000075</v>
      </c>
      <c r="G28" s="42">
        <v>28321.220000000012</v>
      </c>
      <c r="H28" s="46">
        <f aca="true" t="shared" si="0" ref="H28:H38">SUM(D28:G28)</f>
        <v>90708306.45000081</v>
      </c>
    </row>
    <row r="29" spans="2:8" ht="15">
      <c r="B29" s="28" t="s">
        <v>29</v>
      </c>
      <c r="C29" s="28" t="s">
        <v>38</v>
      </c>
      <c r="D29" s="29">
        <v>60665369.849999815</v>
      </c>
      <c r="E29" s="29">
        <v>7853146.870000114</v>
      </c>
      <c r="F29" s="29">
        <v>3136793.370000163</v>
      </c>
      <c r="G29" s="42">
        <v>12033.97</v>
      </c>
      <c r="H29" s="46">
        <f t="shared" si="0"/>
        <v>71667344.06000009</v>
      </c>
    </row>
    <row r="30" spans="2:8" ht="15">
      <c r="B30" s="28" t="s">
        <v>29</v>
      </c>
      <c r="C30" s="28" t="s">
        <v>39</v>
      </c>
      <c r="D30" s="29">
        <v>78930708.96999967</v>
      </c>
      <c r="E30" s="29">
        <v>11634045.510000113</v>
      </c>
      <c r="F30" s="29">
        <v>1236705.050000007</v>
      </c>
      <c r="G30" s="42">
        <v>12979.859999999999</v>
      </c>
      <c r="H30" s="46">
        <f t="shared" si="0"/>
        <v>91814439.38999979</v>
      </c>
    </row>
    <row r="31" spans="2:8" ht="15">
      <c r="B31" s="28" t="s">
        <v>29</v>
      </c>
      <c r="C31" s="28" t="s">
        <v>40</v>
      </c>
      <c r="D31" s="29">
        <v>70025082.0900001</v>
      </c>
      <c r="E31" s="29">
        <v>10016986.47000018</v>
      </c>
      <c r="F31" s="29">
        <v>1076556.7999999966</v>
      </c>
      <c r="G31" s="42">
        <v>35765.17000000001</v>
      </c>
      <c r="H31" s="46">
        <f t="shared" si="0"/>
        <v>81154390.53000027</v>
      </c>
    </row>
    <row r="32" spans="2:8" ht="15">
      <c r="B32" s="28" t="s">
        <v>29</v>
      </c>
      <c r="C32" s="28" t="s">
        <v>41</v>
      </c>
      <c r="D32" s="29">
        <v>77670005.53000122</v>
      </c>
      <c r="E32" s="29">
        <v>11501722.280000068</v>
      </c>
      <c r="F32" s="29">
        <v>1226339.7999999914</v>
      </c>
      <c r="G32" s="42">
        <v>22328.240000000027</v>
      </c>
      <c r="H32" s="46">
        <f t="shared" si="0"/>
        <v>90420395.85000128</v>
      </c>
    </row>
    <row r="33" spans="2:8" ht="15">
      <c r="B33" s="28" t="s">
        <v>42</v>
      </c>
      <c r="C33" s="28" t="s">
        <v>30</v>
      </c>
      <c r="D33" s="29">
        <v>84294469.48000021</v>
      </c>
      <c r="E33" s="29">
        <v>13418488.410000114</v>
      </c>
      <c r="F33" s="29">
        <v>1456819.47999996</v>
      </c>
      <c r="G33" s="42">
        <v>36588.019999999975</v>
      </c>
      <c r="H33" s="46">
        <f t="shared" si="0"/>
        <v>99206365.39000028</v>
      </c>
    </row>
    <row r="34" spans="2:8" ht="15">
      <c r="B34" s="28" t="s">
        <v>42</v>
      </c>
      <c r="C34" s="28" t="s">
        <v>31</v>
      </c>
      <c r="D34" s="29">
        <v>70279018.14000039</v>
      </c>
      <c r="E34" s="29">
        <v>11858412.180000182</v>
      </c>
      <c r="F34" s="29">
        <v>1167792.4999999772</v>
      </c>
      <c r="G34" s="42">
        <v>23892.680000000066</v>
      </c>
      <c r="H34" s="46">
        <f t="shared" si="0"/>
        <v>83329115.50000055</v>
      </c>
    </row>
    <row r="35" spans="2:8" ht="15">
      <c r="B35" s="28" t="s">
        <v>42</v>
      </c>
      <c r="C35" s="28" t="s">
        <v>32</v>
      </c>
      <c r="D35" s="29">
        <v>65324569.24000001</v>
      </c>
      <c r="E35" s="29">
        <v>11558800.940000316</v>
      </c>
      <c r="F35" s="29">
        <v>1250704.1899999701</v>
      </c>
      <c r="G35" s="42">
        <v>19222.090000000026</v>
      </c>
      <c r="H35" s="46">
        <f t="shared" si="0"/>
        <v>78153296.46000029</v>
      </c>
    </row>
    <row r="36" spans="2:8" ht="15">
      <c r="B36" s="28" t="s">
        <v>42</v>
      </c>
      <c r="C36" s="28" t="s">
        <v>33</v>
      </c>
      <c r="D36" s="29">
        <v>81154772.8899993</v>
      </c>
      <c r="E36" s="29">
        <v>13867206.190000169</v>
      </c>
      <c r="F36" s="29">
        <v>1592066.1899999424</v>
      </c>
      <c r="G36" s="42">
        <v>9827.439999999997</v>
      </c>
      <c r="H36" s="46">
        <f t="shared" si="0"/>
        <v>96623872.70999941</v>
      </c>
    </row>
    <row r="37" spans="2:8" ht="15">
      <c r="B37" s="28" t="s">
        <v>42</v>
      </c>
      <c r="C37" s="28" t="s">
        <v>34</v>
      </c>
      <c r="D37" s="29">
        <v>68295266.47850019</v>
      </c>
      <c r="E37" s="29">
        <v>11346276.633200113</v>
      </c>
      <c r="F37" s="29">
        <v>1590235.737999945</v>
      </c>
      <c r="G37" s="42">
        <v>6625.929899999999</v>
      </c>
      <c r="H37" s="46">
        <f t="shared" si="0"/>
        <v>81238404.77960025</v>
      </c>
    </row>
    <row r="38" spans="2:8" ht="15">
      <c r="B38" s="28" t="s">
        <v>42</v>
      </c>
      <c r="C38" s="28" t="s">
        <v>35</v>
      </c>
      <c r="D38" s="30">
        <v>68912317.28790012</v>
      </c>
      <c r="E38" s="30">
        <v>15981081.888600081</v>
      </c>
      <c r="F38" s="30">
        <v>1716733.4163999408</v>
      </c>
      <c r="G38" s="43">
        <v>5831.670799999998</v>
      </c>
      <c r="H38" s="46">
        <f t="shared" si="0"/>
        <v>86615964.26370014</v>
      </c>
    </row>
    <row r="39" ht="4.5" customHeight="1">
      <c r="H39" s="11"/>
    </row>
    <row r="40" spans="3:8" ht="15.75" thickBot="1">
      <c r="C40" s="40"/>
      <c r="D40" s="41">
        <f>SUM(D27:D38)</f>
        <v>885654822.406403</v>
      </c>
      <c r="E40" s="41">
        <f>SUM(E27:E38)</f>
        <v>146870906.99180162</v>
      </c>
      <c r="F40" s="41">
        <f>SUM(F27:F38)</f>
        <v>17509510.084399905</v>
      </c>
      <c r="G40" s="44">
        <f>SUM(G27:G38)</f>
        <v>242422.26070000007</v>
      </c>
      <c r="H40" s="47">
        <f>SUM(H27:H38)</f>
        <v>1050277661.7433045</v>
      </c>
    </row>
    <row r="41" ht="15.75" thickTop="1"/>
    <row r="42" spans="2:8" ht="15">
      <c r="B42" s="57" t="s">
        <v>43</v>
      </c>
      <c r="C42" s="52"/>
      <c r="D42" s="35">
        <f>D40/$H$40</f>
        <v>0.8432577923597345</v>
      </c>
      <c r="E42" s="35">
        <f>E40/$H$40</f>
        <v>0.13984007500265958</v>
      </c>
      <c r="F42" s="35">
        <f>F40/$H$40</f>
        <v>0.016671315331354117</v>
      </c>
      <c r="G42" s="34">
        <f>G40/$H$40</f>
        <v>0.00023081730625177272</v>
      </c>
      <c r="H42" s="48">
        <f>SUM(D42:G42)</f>
        <v>1</v>
      </c>
    </row>
    <row r="45" ht="15">
      <c r="B45" s="4" t="s">
        <v>44</v>
      </c>
    </row>
    <row r="46" ht="4.5" customHeight="1"/>
    <row r="47" spans="3:6" ht="15">
      <c r="C47" s="5" t="s">
        <v>3</v>
      </c>
      <c r="D47" s="5" t="s">
        <v>4</v>
      </c>
      <c r="E47" s="5" t="s">
        <v>5</v>
      </c>
      <c r="F47" s="5" t="s">
        <v>6</v>
      </c>
    </row>
    <row r="48" spans="2:6" ht="15">
      <c r="B48" s="53" t="s">
        <v>21</v>
      </c>
      <c r="C48" s="36">
        <f>C18*$D$42</f>
        <v>-0.091780765027857</v>
      </c>
      <c r="D48" s="36">
        <f>D18*$D$42</f>
        <v>0.0022687007645646297</v>
      </c>
      <c r="E48" s="36">
        <f>E18*$D$42</f>
        <v>0.09265304691017195</v>
      </c>
      <c r="F48" s="36">
        <f>F18*$D$42</f>
        <v>0.08334220756325403</v>
      </c>
    </row>
    <row r="49" spans="2:6" ht="15">
      <c r="B49" s="54" t="s">
        <v>22</v>
      </c>
      <c r="C49" s="37">
        <f>C19*$E$42</f>
        <v>-0.015578476061692732</v>
      </c>
      <c r="D49" s="37">
        <f>D19*$E$42</f>
        <v>-0.000825819270124831</v>
      </c>
      <c r="E49" s="37">
        <f>E19*$E$42</f>
        <v>0.016798786420841264</v>
      </c>
      <c r="F49" s="37">
        <f>F19*$E$42</f>
        <v>0.015157773209170456</v>
      </c>
    </row>
    <row r="50" spans="2:6" ht="15">
      <c r="B50" s="54" t="s">
        <v>23</v>
      </c>
      <c r="C50" s="37">
        <f>C20*$F$42</f>
        <v>-0.002524113162364924</v>
      </c>
      <c r="D50" s="37">
        <f>D20*$F$42</f>
        <v>-0.0004421435048930081</v>
      </c>
      <c r="E50" s="37">
        <f>E20*$F$42</f>
        <v>0.005070265253444493</v>
      </c>
      <c r="F50" s="37">
        <f>F20*$F$42</f>
        <v>0.00011930071606299063</v>
      </c>
    </row>
    <row r="51" spans="2:6" ht="15">
      <c r="B51" s="54" t="s">
        <v>24</v>
      </c>
      <c r="C51" s="37">
        <f>C21*$G$42</f>
        <v>-3.494679269343489E-05</v>
      </c>
      <c r="D51" s="37">
        <f>D21*$G$42</f>
        <v>-6.121554943189495E-06</v>
      </c>
      <c r="E51" s="37">
        <f>E21*$G$42</f>
        <v>7.019871824876353E-05</v>
      </c>
      <c r="F51" s="37">
        <f>F21*$G$42</f>
        <v>1.6517394919510793E-06</v>
      </c>
    </row>
    <row r="52" spans="2:6" ht="4.5" customHeight="1">
      <c r="B52" s="12"/>
      <c r="C52" s="38"/>
      <c r="D52" s="38"/>
      <c r="E52" s="38"/>
      <c r="F52" s="38"/>
    </row>
    <row r="53" spans="2:6" ht="15.75" thickBot="1">
      <c r="B53" s="40"/>
      <c r="C53" s="39">
        <f>SUM(C48:C52)</f>
        <v>-0.10991830104460808</v>
      </c>
      <c r="D53" s="39">
        <f>SUM(D48:D52)</f>
        <v>0.000994616434603601</v>
      </c>
      <c r="E53" s="39">
        <f>SUM(E48:E52)</f>
        <v>0.11459229730270647</v>
      </c>
      <c r="F53" s="39">
        <f>SUM(F48:F52)</f>
        <v>0.09862093322797942</v>
      </c>
    </row>
    <row r="54" ht="15.75" thickTop="1"/>
  </sheetData>
  <sheetProtection/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74" r:id="rId1"/>
  <headerFooter alignWithMargins="0">
    <oddFooter>&amp;L&amp;F
&amp;A&amp;C&amp;D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2011-02-16T12:34:20Z</cp:lastPrinted>
  <dcterms:created xsi:type="dcterms:W3CDTF">2010-03-24T14:49:59Z</dcterms:created>
  <dcterms:modified xsi:type="dcterms:W3CDTF">2011-03-14T20:50:49Z</dcterms:modified>
  <cp:category/>
  <cp:version/>
  <cp:contentType/>
  <cp:contentStatus/>
</cp:coreProperties>
</file>